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reallymeme-my.sharepoint.com/personal/mark_reallyme_me/Documents/Coreweave/Final Deliverables/Cloud Whitepaper/"/>
    </mc:Choice>
  </mc:AlternateContent>
  <xr:revisionPtr revIDLastSave="0" documentId="8_{F1929E8E-FE6A-40A2-A55E-C5FE2F6816AB}" xr6:coauthVersionLast="47" xr6:coauthVersionMax="47" xr10:uidLastSave="{00000000-0000-0000-0000-000000000000}"/>
  <bookViews>
    <workbookView xWindow="-98" yWindow="-98" windowWidth="21795" windowHeight="13875" xr2:uid="{E8026F55-53AD-40D0-B690-16C20C9D183E}"/>
  </bookViews>
  <sheets>
    <sheet name="Cover &amp; Instructions" sheetId="5" r:id="rId1"/>
    <sheet name="Inputs" sheetId="1" r:id="rId2"/>
    <sheet name="AWS Calculations" sheetId="2" r:id="rId3"/>
    <sheet name="CoreWeave Calculations " sheetId="6" r:id="rId4"/>
    <sheet name="Output Comparisons" sheetId="3"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42" i="2" l="1"/>
  <c r="D41" i="1"/>
  <c r="D20" i="1"/>
  <c r="D15" i="1"/>
  <c r="E14" i="3"/>
  <c r="B21" i="6"/>
  <c r="B16" i="2"/>
  <c r="B21" i="2"/>
  <c r="D21" i="2" s="1"/>
  <c r="C21" i="2" s="1"/>
  <c r="D28" i="1"/>
  <c r="D24" i="1"/>
  <c r="D25" i="1"/>
  <c r="D37" i="1"/>
  <c r="D21" i="6" l="1"/>
  <c r="C21" i="6" s="1"/>
  <c r="B17" i="2"/>
  <c r="D17" i="2" s="1"/>
  <c r="C17" i="2" s="1"/>
  <c r="D16" i="2"/>
  <c r="C16" i="2" s="1"/>
  <c r="B33" i="6"/>
  <c r="D33" i="6" s="1"/>
  <c r="B32" i="6"/>
  <c r="C32" i="6" s="1"/>
  <c r="B31" i="6"/>
  <c r="D31" i="6" s="1"/>
  <c r="B29" i="6"/>
  <c r="D29" i="6" s="1"/>
  <c r="B59" i="6"/>
  <c r="F49" i="6"/>
  <c r="G49" i="6" s="1"/>
  <c r="M34" i="1"/>
  <c r="M31" i="1"/>
  <c r="B16" i="6" s="1"/>
  <c r="B17" i="6" s="1"/>
  <c r="D17" i="6" s="1"/>
  <c r="C17" i="6" s="1"/>
  <c r="M11" i="1"/>
  <c r="M8" i="1"/>
  <c r="B28" i="2"/>
  <c r="B26" i="2"/>
  <c r="B56" i="2"/>
  <c r="C14" i="3" s="1"/>
  <c r="D16" i="6" l="1"/>
  <c r="C16" i="6" s="1"/>
  <c r="C6" i="6"/>
  <c r="B6" i="6" s="1"/>
  <c r="C7" i="6"/>
  <c r="C8" i="6"/>
  <c r="C4" i="6"/>
  <c r="B4" i="6" s="1"/>
  <c r="C5" i="6"/>
  <c r="B5" i="6" s="1"/>
  <c r="G50" i="6"/>
  <c r="F50" i="6"/>
  <c r="C29" i="6"/>
  <c r="D32" i="6"/>
  <c r="C31" i="6"/>
  <c r="C33" i="6"/>
  <c r="B30" i="2"/>
  <c r="D30" i="2" s="1"/>
  <c r="D5" i="6" l="1"/>
  <c r="B8" i="6"/>
  <c r="D8" i="6"/>
  <c r="D6" i="6"/>
  <c r="D7" i="6"/>
  <c r="B7" i="6"/>
  <c r="D4" i="6"/>
  <c r="G51" i="6"/>
  <c r="F52" i="6" s="1"/>
  <c r="F51" i="6"/>
  <c r="C30" i="2"/>
  <c r="C26" i="2"/>
  <c r="D26" i="2"/>
  <c r="C28" i="2"/>
  <c r="D28" i="2"/>
  <c r="B29" i="2"/>
  <c r="D29" i="2" s="1"/>
  <c r="D61" i="1"/>
  <c r="D60" i="1"/>
  <c r="F46" i="2"/>
  <c r="G46" i="2" s="1"/>
  <c r="H34" i="1"/>
  <c r="H31" i="1"/>
  <c r="D43" i="1"/>
  <c r="D46" i="1" s="1"/>
  <c r="D40" i="1"/>
  <c r="D34" i="1"/>
  <c r="H11" i="1"/>
  <c r="H8" i="1"/>
  <c r="C5" i="2" s="1"/>
  <c r="B5" i="2" s="1"/>
  <c r="C7" i="2" l="1"/>
  <c r="D7" i="2" s="1"/>
  <c r="C8" i="2"/>
  <c r="D45" i="1"/>
  <c r="C34" i="2"/>
  <c r="B34" i="2" s="1"/>
  <c r="C37" i="6"/>
  <c r="D50" i="1"/>
  <c r="B28" i="6" s="1"/>
  <c r="D53" i="1"/>
  <c r="B30" i="6" s="1"/>
  <c r="C29" i="2"/>
  <c r="G47" i="2"/>
  <c r="F47" i="2"/>
  <c r="C4" i="2"/>
  <c r="B4" i="2" s="1"/>
  <c r="C6" i="2"/>
  <c r="D6" i="2" s="1"/>
  <c r="D5" i="2"/>
  <c r="D11" i="1"/>
  <c r="B14" i="6"/>
  <c r="B8" i="2" l="1"/>
  <c r="D8" i="2"/>
  <c r="D34" i="2"/>
  <c r="D18" i="1"/>
  <c r="B12" i="6"/>
  <c r="B15" i="6"/>
  <c r="D14" i="6"/>
  <c r="C14" i="6" s="1"/>
  <c r="D37" i="6"/>
  <c r="B37" i="6"/>
  <c r="D35" i="2"/>
  <c r="C35" i="2" s="1"/>
  <c r="D38" i="6"/>
  <c r="D47" i="1"/>
  <c r="C39" i="2" s="1"/>
  <c r="D57" i="1"/>
  <c r="B27" i="2"/>
  <c r="B25" i="2"/>
  <c r="B7" i="2"/>
  <c r="B9" i="6"/>
  <c r="C9" i="6"/>
  <c r="D9" i="6" s="1"/>
  <c r="E5" i="3" s="1"/>
  <c r="D23" i="1"/>
  <c r="B20" i="2" s="1"/>
  <c r="B14" i="2"/>
  <c r="B12" i="2"/>
  <c r="G48" i="2"/>
  <c r="F49" i="2" s="1"/>
  <c r="F48" i="2"/>
  <c r="D4" i="2"/>
  <c r="C9" i="2"/>
  <c r="D9" i="2" s="1"/>
  <c r="C5" i="3" s="1"/>
  <c r="B6" i="2"/>
  <c r="B31" i="2" l="1"/>
  <c r="D30" i="1"/>
  <c r="D15" i="6"/>
  <c r="D36" i="2"/>
  <c r="C11" i="3" s="1"/>
  <c r="C42" i="6"/>
  <c r="D20" i="2"/>
  <c r="C20" i="2" s="1"/>
  <c r="B20" i="6"/>
  <c r="D25" i="2"/>
  <c r="C25" i="2"/>
  <c r="B13" i="6"/>
  <c r="B18" i="6" s="1"/>
  <c r="D12" i="6"/>
  <c r="C12" i="6" s="1"/>
  <c r="B19" i="2"/>
  <c r="B19" i="6"/>
  <c r="D19" i="6" s="1"/>
  <c r="C19" i="6" s="1"/>
  <c r="C38" i="6"/>
  <c r="D39" i="6"/>
  <c r="E11" i="3" s="1"/>
  <c r="B35" i="2"/>
  <c r="B36" i="2" s="1"/>
  <c r="C36" i="2"/>
  <c r="G5" i="3"/>
  <c r="H5" i="3" s="1"/>
  <c r="C28" i="6"/>
  <c r="D28" i="6"/>
  <c r="B34" i="6"/>
  <c r="C27" i="2"/>
  <c r="D27" i="2"/>
  <c r="C30" i="6"/>
  <c r="D30" i="6"/>
  <c r="B13" i="2"/>
  <c r="D12" i="2"/>
  <c r="C12" i="2" s="1"/>
  <c r="B15" i="2"/>
  <c r="D15" i="2" s="1"/>
  <c r="C15" i="2" s="1"/>
  <c r="D14" i="2"/>
  <c r="C14" i="2" s="1"/>
  <c r="B9" i="2"/>
  <c r="D19" i="2" l="1"/>
  <c r="C19" i="2" s="1"/>
  <c r="B22" i="2"/>
  <c r="D22" i="2" s="1"/>
  <c r="C22" i="2" s="1"/>
  <c r="C40" i="2" s="1"/>
  <c r="C41" i="2" s="1"/>
  <c r="C45" i="2" s="1"/>
  <c r="D45" i="2" s="1"/>
  <c r="B45" i="2" s="1"/>
  <c r="C15" i="6"/>
  <c r="B22" i="6"/>
  <c r="D22" i="6" s="1"/>
  <c r="C22" i="6" s="1"/>
  <c r="C43" i="6" s="1"/>
  <c r="C44" i="6" s="1"/>
  <c r="C45" i="6" s="1"/>
  <c r="G11" i="3"/>
  <c r="H11" i="3" s="1"/>
  <c r="B18" i="2"/>
  <c r="D31" i="2"/>
  <c r="C8" i="3" s="1"/>
  <c r="D34" i="6"/>
  <c r="E8" i="3" s="1"/>
  <c r="C31" i="2"/>
  <c r="D13" i="6"/>
  <c r="D18" i="6" s="1"/>
  <c r="D20" i="6"/>
  <c r="C20" i="6" s="1"/>
  <c r="B38" i="6"/>
  <c r="B39" i="6" s="1"/>
  <c r="C39" i="6"/>
  <c r="C34" i="6"/>
  <c r="D13" i="2"/>
  <c r="D18" i="2" s="1"/>
  <c r="C47" i="2" l="1"/>
  <c r="D47" i="2" s="1"/>
  <c r="B47" i="2" s="1"/>
  <c r="C49" i="2"/>
  <c r="D49" i="2" s="1"/>
  <c r="B49" i="2" s="1"/>
  <c r="C46" i="2"/>
  <c r="D46" i="2" s="1"/>
  <c r="B46" i="2" s="1"/>
  <c r="C48" i="2"/>
  <c r="D48" i="2" s="1"/>
  <c r="B48" i="2" s="1"/>
  <c r="G8" i="3"/>
  <c r="H8" i="3" s="1"/>
  <c r="C50" i="6"/>
  <c r="D50" i="6" s="1"/>
  <c r="B50" i="6" s="1"/>
  <c r="C52" i="6"/>
  <c r="D52" i="6" s="1"/>
  <c r="B52" i="6" s="1"/>
  <c r="C51" i="6"/>
  <c r="D51" i="6" s="1"/>
  <c r="B51" i="6" s="1"/>
  <c r="C49" i="6"/>
  <c r="D49" i="6" s="1"/>
  <c r="B49" i="6" s="1"/>
  <c r="C48" i="6"/>
  <c r="C13" i="6"/>
  <c r="C18" i="6" s="1"/>
  <c r="E7" i="3"/>
  <c r="C7" i="3"/>
  <c r="C13" i="2"/>
  <c r="C18" i="2" s="1"/>
  <c r="G7" i="3" l="1"/>
  <c r="H7" i="3" s="1"/>
  <c r="C50" i="2"/>
  <c r="C53" i="2" s="1"/>
  <c r="C55" i="2" s="1"/>
  <c r="D48" i="6"/>
  <c r="B48" i="6" s="1"/>
  <c r="C53" i="6"/>
  <c r="D53" i="6" l="1"/>
  <c r="C56" i="6"/>
  <c r="C58" i="6" s="1"/>
  <c r="D12" i="1"/>
  <c r="E10" i="3" l="1"/>
  <c r="D56" i="6"/>
  <c r="B53" i="6"/>
  <c r="B56" i="6" s="1"/>
  <c r="B58" i="6" s="1"/>
  <c r="D50" i="2"/>
  <c r="D53" i="2" s="1"/>
  <c r="D58" i="6" l="1"/>
  <c r="E15" i="3" s="1"/>
  <c r="E16" i="3" s="1"/>
  <c r="E12" i="3"/>
  <c r="C10" i="3"/>
  <c r="B50" i="2"/>
  <c r="F11" i="3" l="1"/>
  <c r="F5" i="3"/>
  <c r="F10" i="3"/>
  <c r="F8" i="3"/>
  <c r="F7" i="3"/>
  <c r="G10" i="3"/>
  <c r="H10" i="3" s="1"/>
  <c r="B53" i="2"/>
  <c r="B55" i="2" s="1"/>
  <c r="D55" i="2"/>
  <c r="C15" i="3" s="1"/>
  <c r="C12" i="3"/>
  <c r="G12" i="3" l="1"/>
  <c r="H12" i="3" s="1"/>
  <c r="D5" i="3"/>
  <c r="D11" i="3"/>
  <c r="D8" i="3"/>
  <c r="D7" i="3"/>
  <c r="D10" i="3"/>
  <c r="C16" i="3"/>
  <c r="G16" i="3" s="1"/>
  <c r="H16" i="3" s="1"/>
  <c r="G15" i="3"/>
  <c r="H15"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tc={C32CEF7C-0B23-498D-A7FF-945ECA8C488F}</author>
    <author>tc={BB55C679-6CE6-47ED-99BD-C2F5BD28835A}</author>
  </authors>
  <commentList>
    <comment ref="H16" authorId="0" shapeId="0" xr:uid="{C32CEF7C-0B23-498D-A7FF-945ECA8C488F}">
      <text>
        <t>[Threaded comment]
Your version of Excel allows you to read this threaded comment; however, any edits to it will get removed if the file is opened in a newer version of Excel. Learn more: https://go.microsoft.com/fwlink/?linkid=870924
Comment:
    https://aws.amazon.com/ec2/pricing/on-demand/</t>
      </text>
    </comment>
    <comment ref="H29" authorId="1" shapeId="0" xr:uid="{BB55C679-6CE6-47ED-99BD-C2F5BD28835A}">
      <text>
        <t>[Threaded comment]
Your version of Excel allows you to read this threaded comment; however, any edits to it will get removed if the file is opened in a newer version of Excel. Learn more: https://go.microsoft.com/fwlink/?linkid=870924
Comment:
    https://aws.amazon.com/ec2/pricing/on-demand/</t>
      </text>
    </comment>
  </commentList>
</comments>
</file>

<file path=xl/sharedStrings.xml><?xml version="1.0" encoding="utf-8"?>
<sst xmlns="http://schemas.openxmlformats.org/spreadsheetml/2006/main" count="352" uniqueCount="233">
  <si>
    <t>Storage</t>
  </si>
  <si>
    <t>per GB/month</t>
  </si>
  <si>
    <t>IOPS</t>
  </si>
  <si>
    <t>Ingress</t>
  </si>
  <si>
    <t>to storage</t>
  </si>
  <si>
    <t>Egress</t>
  </si>
  <si>
    <t>Tier 0</t>
  </si>
  <si>
    <t>per GB, first 1GB/month</t>
  </si>
  <si>
    <t>Tier 1</t>
  </si>
  <si>
    <t>per GB, next 10TB/month</t>
  </si>
  <si>
    <t>Tier 2</t>
  </si>
  <si>
    <t>per GB, next 40TB/month</t>
  </si>
  <si>
    <t>Tier 3</t>
  </si>
  <si>
    <t>per GB, next 100TB/month</t>
  </si>
  <si>
    <t>CALCULATIONS</t>
  </si>
  <si>
    <t>Amazon Web Services</t>
  </si>
  <si>
    <t>Storage Total</t>
  </si>
  <si>
    <t>Tier 0 - First 1 GB</t>
  </si>
  <si>
    <t>Tier 1 - Next 10TB</t>
  </si>
  <si>
    <t>Tier 2 - Next 40TB</t>
  </si>
  <si>
    <t>AWS</t>
  </si>
  <si>
    <t>IOPS per second</t>
  </si>
  <si>
    <t>(simulatenous max IOPS across all users)</t>
  </si>
  <si>
    <t>per provisioned IOP each month</t>
  </si>
  <si>
    <t>per VM per hour (inc. Windows license)</t>
  </si>
  <si>
    <t>Licensing &amp; Other</t>
  </si>
  <si>
    <t>Remote Desktop Software License Fee</t>
  </si>
  <si>
    <t>Ratecard Discount Factor</t>
  </si>
  <si>
    <t>Blanket discount amount</t>
  </si>
  <si>
    <t>Storage Costs</t>
  </si>
  <si>
    <t>Compute Costs</t>
  </si>
  <si>
    <t>Proxy Work in Progress</t>
  </si>
  <si>
    <t>Hi-Res Video Work in Progress</t>
  </si>
  <si>
    <t>CoreWeave</t>
  </si>
  <si>
    <t>Terabyes</t>
  </si>
  <si>
    <t>In petabyes</t>
  </si>
  <si>
    <t>(initially 12)</t>
  </si>
  <si>
    <t>hours per week (initially 10 hours/per day, 6 days/week)</t>
  </si>
  <si>
    <t>hours per week (initially 8 hours/per day, 6 days/week)</t>
  </si>
  <si>
    <t>Number of full Edit Bays</t>
  </si>
  <si>
    <t>Other Creative Workstations</t>
  </si>
  <si>
    <t xml:space="preserve">  Av Hours per week  of use per Edit bay</t>
  </si>
  <si>
    <t xml:space="preserve"> Av Hours per week of use per Creative Workstation</t>
  </si>
  <si>
    <t xml:space="preserve">  Streaming Bitrate of Edit Bay Workstations</t>
  </si>
  <si>
    <t xml:space="preserve">  Streaming Bitrate of Creative Workstations</t>
  </si>
  <si>
    <t>Footnotes</t>
  </si>
  <si>
    <r>
      <t xml:space="preserve">Mbit/s (initially 30) , based on higher bitrate 4:4:4, more motion </t>
    </r>
    <r>
      <rPr>
        <vertAlign val="superscript"/>
        <sz val="11"/>
        <color theme="1"/>
        <rFont val="Calibri"/>
        <family val="2"/>
        <scheme val="minor"/>
      </rPr>
      <t>1</t>
    </r>
  </si>
  <si>
    <t xml:space="preserve">We assume higher bitrates for the edit bays as more likely higher frame rates, audio quality. All are based on research and recommended practices from Adobe and Teradici. </t>
  </si>
  <si>
    <t>PCoIP Audio quality and bandwidth | HP Anyware Support</t>
  </si>
  <si>
    <r>
      <t xml:space="preserve">Mbit/s (initially 10), based on lower bit rate clipping, marketing use cases </t>
    </r>
    <r>
      <rPr>
        <vertAlign val="superscript"/>
        <sz val="11"/>
        <color theme="1"/>
        <rFont val="Calibri"/>
        <family val="2"/>
        <scheme val="minor"/>
      </rPr>
      <t>1</t>
    </r>
  </si>
  <si>
    <t xml:space="preserve">  IOPS per Edit Bay Workstation</t>
  </si>
  <si>
    <t xml:space="preserve"> IOPS per Creative Workstation</t>
  </si>
  <si>
    <t>per workstation</t>
  </si>
  <si>
    <t>per Edit Bay Workstation</t>
  </si>
  <si>
    <t>Network Connectivity</t>
  </si>
  <si>
    <t>Mbit/s (1GB up/down)</t>
  </si>
  <si>
    <t>GB egressed per workstation per week</t>
  </si>
  <si>
    <t>GB Total Egressed Data for All  Workstations per week</t>
  </si>
  <si>
    <t>Archive (previously stored on LTO)</t>
  </si>
  <si>
    <t>Terabytes of NVME for up to 8 x live HD streams simultaneously</t>
  </si>
  <si>
    <t>Brio ingest server block storage</t>
  </si>
  <si>
    <t>Terabyes in object storage</t>
  </si>
  <si>
    <t>Terabytes in object storage</t>
  </si>
  <si>
    <t>AWS S3 Object Storage</t>
  </si>
  <si>
    <t>API Pricing</t>
  </si>
  <si>
    <t>Put, Copy, Post</t>
  </si>
  <si>
    <t xml:space="preserve">per 1000 requests </t>
  </si>
  <si>
    <t>Get, Select</t>
  </si>
  <si>
    <t>Per Week</t>
  </si>
  <si>
    <t>Per Month</t>
  </si>
  <si>
    <t>Per Year</t>
  </si>
  <si>
    <t>per TB/month</t>
  </si>
  <si>
    <t>Harmonic Spectrum Playout Servers</t>
  </si>
  <si>
    <t xml:space="preserve">Number of News Channels </t>
  </si>
  <si>
    <t xml:space="preserve">We assume moderate graphics insertions and live switching so each GPU instance can output 5 channels.  But performance can vary from 1 to 12 channels per instance.Source: https://www.harmonicinc.com/video-streaming/media-servers-storage/spectrum-x/ </t>
  </si>
  <si>
    <t>Playout</t>
  </si>
  <si>
    <t>Assumes 1+1 RTX powered, Initially set as 1 instance for 5 channels</t>
  </si>
  <si>
    <t>Average output bitrate per stream to web  (VBR)</t>
  </si>
  <si>
    <t>Server Instances</t>
  </si>
  <si>
    <t>Mbit/s (initially 2Mbit/s using HEVC for 24/7 webstream)</t>
  </si>
  <si>
    <t>Mbytes per package, initially set at 1000Mbytes (~5mins in MPEG2)</t>
  </si>
  <si>
    <t>Number of sports clips /highlight packages per channel</t>
  </si>
  <si>
    <t>Average file size of each sports clips/highlight packages</t>
  </si>
  <si>
    <t>Egress output per week for  video packages</t>
  </si>
  <si>
    <t>Gigabytes per week</t>
  </si>
  <si>
    <t>Gigabytes per hour per channel</t>
  </si>
  <si>
    <t>Total egress output per week for all linear channels</t>
  </si>
  <si>
    <t>Number of news clips /highlight packages per channel</t>
  </si>
  <si>
    <t>per week, initially set at 10 per news channel</t>
  </si>
  <si>
    <t xml:space="preserve">Number of Sports Channels </t>
  </si>
  <si>
    <t>Total Number of Channels</t>
  </si>
  <si>
    <t>Average file size of each news clips/highlight packages</t>
  </si>
  <si>
    <t>Gbytes total Egressed data per week for playouts and clip syndication</t>
  </si>
  <si>
    <t>CoreWeave Pricing Inputs</t>
  </si>
  <si>
    <t>Scenario Model Inputs</t>
  </si>
  <si>
    <t>Adobe Media Encoder Servers for Conform</t>
  </si>
  <si>
    <t>Amberfin Playout Servers</t>
  </si>
  <si>
    <t>Ad-Insertion Servers</t>
  </si>
  <si>
    <t>Object to File Management License</t>
  </si>
  <si>
    <t>VM Streaming Licenses</t>
  </si>
  <si>
    <r>
      <t>Software for Cloud Management</t>
    </r>
    <r>
      <rPr>
        <sz val="11"/>
        <color theme="1"/>
        <rFont val="Calibri"/>
        <family val="2"/>
        <scheme val="minor"/>
      </rPr>
      <t xml:space="preserve"> (over and above on-prem required software)</t>
    </r>
  </si>
  <si>
    <t>Compute EC2</t>
  </si>
  <si>
    <t>Workstations</t>
  </si>
  <si>
    <t>Edit Bays</t>
  </si>
  <si>
    <t>Number of Users per machine</t>
  </si>
  <si>
    <t>G5.4X Large (Nvidia A10)</t>
  </si>
  <si>
    <t>Compute - Workstations</t>
  </si>
  <si>
    <t>Compute - Servers</t>
  </si>
  <si>
    <t>Cost per Edit Bay</t>
  </si>
  <si>
    <t>Cost for all Edit Bays</t>
  </si>
  <si>
    <t>Cost for all Creative Workstations</t>
  </si>
  <si>
    <t>Cost per CreativeWorkstation</t>
  </si>
  <si>
    <t>Total Cost for Edit Bays &amp; Workstations</t>
  </si>
  <si>
    <t>Cost per hour per User</t>
  </si>
  <si>
    <t>per VM per hour (inc. Windows license) - limited avails</t>
  </si>
  <si>
    <t>GB Egressed from Edit Bays</t>
  </si>
  <si>
    <t>Free</t>
  </si>
  <si>
    <t xml:space="preserve">Cumulative GB egressed </t>
  </si>
  <si>
    <t>Terabyte Teirs</t>
  </si>
  <si>
    <t>Total Egress (workstations, streams)</t>
  </si>
  <si>
    <t>Egress Cost Calculations</t>
  </si>
  <si>
    <t>And above</t>
  </si>
  <si>
    <t>Tier 4 - Over 150TB</t>
  </si>
  <si>
    <t>Tier 3 - Next 100TB</t>
  </si>
  <si>
    <t>Tier 4</t>
  </si>
  <si>
    <t>per GB, over 150TB per month</t>
  </si>
  <si>
    <t>per GB, free ingress</t>
  </si>
  <si>
    <t>Data egressed by workstations (GB)</t>
  </si>
  <si>
    <t>In Terabyytes</t>
  </si>
  <si>
    <t>Egress Total</t>
  </si>
  <si>
    <t xml:space="preserve">Playout all streams in GB  </t>
  </si>
  <si>
    <t>AWS Total Scenario Cost</t>
  </si>
  <si>
    <t>Per workstation per month (initially set as $24.92)</t>
  </si>
  <si>
    <t>Object to File Storage servers</t>
  </si>
  <si>
    <t>Servers</t>
  </si>
  <si>
    <t>All Servers</t>
  </si>
  <si>
    <t>Total Data Egress (GB) pm</t>
  </si>
  <si>
    <t>Brio Ingest Servers</t>
  </si>
  <si>
    <t>per hour.  Used for Brio ingest servers (no GPU optimization)</t>
  </si>
  <si>
    <t>M7i.8xLarge</t>
  </si>
  <si>
    <t xml:space="preserve">Additional Software </t>
  </si>
  <si>
    <t>Object to file software licensing</t>
  </si>
  <si>
    <t>AWS pricing after Discount</t>
  </si>
  <si>
    <t xml:space="preserve">per hour.  Used for Object to File server nodes, </t>
  </si>
  <si>
    <t>AWS Pricing Inputs - US.West (Oregon)</t>
  </si>
  <si>
    <t>Object to File Storage Servers</t>
  </si>
  <si>
    <r>
      <rPr>
        <b/>
        <sz val="12"/>
        <color theme="1"/>
        <rFont val="Calibri"/>
        <family val="2"/>
        <scheme val="minor"/>
      </rPr>
      <t>Version</t>
    </r>
    <r>
      <rPr>
        <sz val="11"/>
        <color theme="1"/>
        <rFont val="Calibri"/>
        <family val="2"/>
        <scheme val="minor"/>
      </rPr>
      <t xml:space="preserve"> : 1.0</t>
    </r>
  </si>
  <si>
    <t>Instructions</t>
  </si>
  <si>
    <t>Broadcast Studio Facility and Operations Cost Modeller</t>
  </si>
  <si>
    <t>This spreadsheet is provided as a free tool as part of the 'Cloud Economics for Sports &amp; Entertainment' Whitepaper , available here:</t>
  </si>
  <si>
    <t>www.entertainmenttechnologists.com/cloud</t>
  </si>
  <si>
    <r>
      <rPr>
        <b/>
        <sz val="12"/>
        <color theme="1"/>
        <rFont val="Calibri"/>
        <family val="2"/>
        <scheme val="minor"/>
      </rPr>
      <t>Released</t>
    </r>
    <r>
      <rPr>
        <sz val="11"/>
        <color theme="1"/>
        <rFont val="Calibri"/>
        <family val="2"/>
        <scheme val="minor"/>
      </rPr>
      <t xml:space="preserve"> : Sept 2025</t>
    </r>
  </si>
  <si>
    <t>mark.turner@entertainmenttechnologists.com</t>
  </si>
  <si>
    <t>Feedback &amp; Customization</t>
  </si>
  <si>
    <t>To provide any recommended changes or request your own customized version of this tool for your own cloud analysis contact:</t>
  </si>
  <si>
    <t xml:space="preserve">Client Name: </t>
  </si>
  <si>
    <t>Model Assumptions</t>
  </si>
  <si>
    <t>Enter Scenario Inputs, Pricing for Cloud Providers</t>
  </si>
  <si>
    <t xml:space="preserve"> Workstations</t>
  </si>
  <si>
    <t xml:space="preserve"> Servers</t>
  </si>
  <si>
    <t>Delta (%)</t>
  </si>
  <si>
    <t>(eg. Enter 0.9 if you get a 10 discount)</t>
  </si>
  <si>
    <t>Discount Rate</t>
  </si>
  <si>
    <t>Annual with Discount</t>
  </si>
  <si>
    <t>Annual without Discount</t>
  </si>
  <si>
    <t>Per Month with Discount</t>
  </si>
  <si>
    <t>Assumes 1+1 for A10G (can be less for RTX) for queuing conform encodes</t>
  </si>
  <si>
    <t>per hour. GPU optimized servers for Harmonic Spectrum, AmberFin,  Adobe conform encodes</t>
  </si>
  <si>
    <t>1+1 config.  Lightweight server to adjust playlist</t>
  </si>
  <si>
    <t>Servers for File Prep &amp; Playout</t>
  </si>
  <si>
    <t>Based on spec sheet at https://go.dalet.com/hubfs/Datasheets/Dalet%20AmberFin%20Datasheet.pdf</t>
  </si>
  <si>
    <t xml:space="preserve"> Discount</t>
  </si>
  <si>
    <t>Minimum Internet  Connection (diverse 1+1 sources)</t>
  </si>
  <si>
    <t>Nodes for managing S3 to file caching &amp; optimization [initially 6 for 4~ petabytes]</t>
  </si>
  <si>
    <t>Per TB per year (initially $15,000 per 50TB)</t>
  </si>
  <si>
    <t>Software Licensing Totals</t>
  </si>
  <si>
    <t>t3a.medium</t>
  </si>
  <si>
    <t>per hour. For ad-insertion server (metadata and scheduling)</t>
  </si>
  <si>
    <t>CoreWeave Object Storage</t>
  </si>
  <si>
    <t xml:space="preserve"> Storage</t>
  </si>
  <si>
    <t>NVME Block Storage</t>
  </si>
  <si>
    <t>CoreWeave Total Scenario Cost</t>
  </si>
  <si>
    <t>CoreWeave pricing after Discount</t>
  </si>
  <si>
    <r>
      <t>Compute CoreWea</t>
    </r>
    <r>
      <rPr>
        <sz val="11"/>
        <color theme="1"/>
        <rFont val="Calibri"/>
        <family val="2"/>
        <scheme val="minor"/>
      </rPr>
      <t>ve Bare Metal</t>
    </r>
  </si>
  <si>
    <t>Initially 4 per RTX4000, could go up to 6 with testing</t>
  </si>
  <si>
    <t>(white cells for input, colored cells auto-calculate based on inputs)</t>
  </si>
  <si>
    <t>Harmonic Spectrum MediaGrid Playout Servers</t>
  </si>
  <si>
    <t>Terabyes in object storage (Quantum)</t>
  </si>
  <si>
    <t>(initially 300)</t>
  </si>
  <si>
    <t>Initially set at 6</t>
  </si>
  <si>
    <t>SQL Servers</t>
  </si>
  <si>
    <t>Managing content operations databases</t>
  </si>
  <si>
    <r>
      <t xml:space="preserve">Assumes 2 per channel of output for A10, 1 for RTX (1+0 config, non-real time jobs) </t>
    </r>
    <r>
      <rPr>
        <vertAlign val="superscript"/>
        <sz val="11"/>
        <rFont val="Calibri"/>
        <family val="2"/>
        <scheme val="minor"/>
      </rPr>
      <t>3</t>
    </r>
  </si>
  <si>
    <t>per week, initially set at 1 per sports  channel per week</t>
  </si>
  <si>
    <t>Average output bitrate per cable channel   (HEVC)</t>
  </si>
  <si>
    <t>Mbit/s (initially 25Mbit/s, assumes using HEVC 1080i for headends)</t>
  </si>
  <si>
    <t>Total Cloud  Storage</t>
  </si>
  <si>
    <t>Storage for databases</t>
  </si>
  <si>
    <t>Block storage for Object Storage caching</t>
  </si>
  <si>
    <t xml:space="preserve">Terabytes of NVME  </t>
  </si>
  <si>
    <t>R5.xlarge</t>
  </si>
  <si>
    <t>per hour for SQL databases</t>
  </si>
  <si>
    <t>Cost per Master Control Workstations</t>
  </si>
  <si>
    <t>Cost for all MC Workstations</t>
  </si>
  <si>
    <t>Difference</t>
  </si>
  <si>
    <t>Cloud  Workstations</t>
  </si>
  <si>
    <t>Master Control Workstations</t>
  </si>
  <si>
    <t>hours per week (initially 24 hours/per day,76 days/week)</t>
  </si>
  <si>
    <t>Mbit/s (initially 10), based on continuos videos</t>
  </si>
  <si>
    <t>(Initially 42 - 16 in Sports, 14 in News, 12 in TOC)</t>
  </si>
  <si>
    <t>Total Cost for Workstations</t>
  </si>
  <si>
    <t>GB  egressed from creative</t>
  </si>
  <si>
    <t xml:space="preserve"> GB egressed from MC machines</t>
  </si>
  <si>
    <t xml:space="preserve"> GB egressed from MC</t>
  </si>
  <si>
    <t>GB  egressed from creative workstations</t>
  </si>
  <si>
    <t>G6.4xlarge (Nvidia L4)</t>
  </si>
  <si>
    <t>I3EN.6XL</t>
  </si>
  <si>
    <t>per hour.  Used for Object to File server nodes, Windows</t>
  </si>
  <si>
    <t>per hour.  Used for Brio ingest servers (no GPU optimization), Windows</t>
  </si>
  <si>
    <t>per hour. For ad-insertion server (metadata and scheduling), Windows</t>
  </si>
  <si>
    <t>RTX4000</t>
  </si>
  <si>
    <t>CoreWeave 32Core, 128GB</t>
  </si>
  <si>
    <t>CoreWeave 41 core,160GB mem, 2GBdisc</t>
  </si>
  <si>
    <t>CoreWeave 2Cores, 6GB memory</t>
  </si>
  <si>
    <t>CoreWeave A6000 16CPU, 64GB</t>
  </si>
  <si>
    <t>CoreWeave RTX4000, 16CPU, 64GB</t>
  </si>
  <si>
    <t>Block Storage (NVME)</t>
  </si>
  <si>
    <t>Initially 2 per A6000, could go to up 4 with testing</t>
  </si>
  <si>
    <t>per hour for SQL databases, Linux</t>
  </si>
  <si>
    <t>Assumed HD 1080i 60fps, 24x7 Channels</t>
  </si>
  <si>
    <t>% of total</t>
  </si>
  <si>
    <t xml:space="preserve">per VM per hour (inc. Windows license) </t>
  </si>
  <si>
    <t xml:space="preserve">OUTPUT COMPARISONS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</si>
</sst>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0.0"/>
    <numFmt numFmtId="165" formatCode="_(&quot;$&quot;* #,##0.0000_);_(&quot;$&quot;* \(#,##0.0000\);_(&quot;$&quot;* &quot;-&quot;??_);_(@_)"/>
    <numFmt numFmtId="166" formatCode="_(&quot;$&quot;* #,##0_);_(&quot;$&quot;* \(#,##0\);_(&quot;$&quot;* &quot;-&quot;??_);_(@_)"/>
    <numFmt numFmtId="167" formatCode="_(&quot;$&quot;* #,##0.000_);_(&quot;$&quot;* \(#,##0.000\);_(&quot;$&quot;* &quot;-&quot;??_);_(@_)"/>
    <numFmt numFmtId="168" formatCode="_(* #,##0_);_(* \(#,##0\);_(* &quot;-&quot;??_);_(@_)"/>
    <numFmt numFmtId="169" formatCode="_(* #,##0.000_);_(* \(#,##0.000\);_(* &quot;-&quot;??_);_(@_)"/>
  </numFmts>
  <fonts count="39"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b/>
      <sz val="20"/>
      <color theme="4"/>
      <name val="Calibri"/>
      <family val="2"/>
      <scheme val="minor"/>
    </font>
    <font>
      <b/>
      <sz val="11"/>
      <color theme="0"/>
      <name val="Calibri"/>
      <family val="2"/>
      <scheme val="minor"/>
    </font>
    <font>
      <sz val="11"/>
      <name val="Calibri"/>
      <family val="2"/>
      <scheme val="minor"/>
    </font>
    <font>
      <b/>
      <sz val="11"/>
      <name val="Calibri"/>
      <family val="2"/>
      <scheme val="minor"/>
    </font>
    <font>
      <b/>
      <sz val="12"/>
      <color theme="1"/>
      <name val="Calibri"/>
      <family val="2"/>
      <scheme val="minor"/>
    </font>
    <font>
      <b/>
      <sz val="14"/>
      <color theme="1"/>
      <name val="Calibri"/>
      <family val="2"/>
      <scheme val="minor"/>
    </font>
    <font>
      <b/>
      <sz val="14"/>
      <color theme="0"/>
      <name val="Calibri"/>
      <family val="2"/>
      <scheme val="minor"/>
    </font>
    <font>
      <b/>
      <sz val="12"/>
      <name val="Calibri"/>
      <family val="2"/>
      <scheme val="minor"/>
    </font>
    <font>
      <b/>
      <sz val="14"/>
      <name val="Calibri"/>
      <family val="2"/>
      <scheme val="minor"/>
    </font>
    <font>
      <sz val="14"/>
      <color theme="1"/>
      <name val="Calibri"/>
      <family val="2"/>
      <scheme val="minor"/>
    </font>
    <font>
      <sz val="11"/>
      <color rgb="FFFF0000"/>
      <name val="Calibri"/>
      <family val="2"/>
      <scheme val="minor"/>
    </font>
    <font>
      <sz val="14"/>
      <name val="Calibri"/>
      <family val="2"/>
      <scheme val="minor"/>
    </font>
    <font>
      <u/>
      <sz val="11"/>
      <color theme="10"/>
      <name val="Calibri"/>
      <family val="2"/>
      <scheme val="minor"/>
    </font>
    <font>
      <vertAlign val="superscript"/>
      <sz val="11"/>
      <color theme="1"/>
      <name val="Calibri"/>
      <family val="2"/>
      <scheme val="minor"/>
    </font>
    <font>
      <sz val="12"/>
      <color theme="1"/>
      <name val="Calibri"/>
      <family val="2"/>
      <scheme val="minor"/>
    </font>
    <font>
      <b/>
      <sz val="18"/>
      <color theme="1"/>
      <name val="Poppins"/>
    </font>
    <font>
      <u/>
      <sz val="12"/>
      <color theme="10"/>
      <name val="Calibri"/>
      <family val="2"/>
      <scheme val="minor"/>
    </font>
    <font>
      <b/>
      <sz val="12"/>
      <color theme="1"/>
      <name val="Poppins"/>
    </font>
    <font>
      <b/>
      <sz val="11"/>
      <color theme="1"/>
      <name val="Poppins"/>
    </font>
    <font>
      <sz val="10"/>
      <color theme="1"/>
      <name val="Poppins"/>
    </font>
    <font>
      <b/>
      <sz val="10"/>
      <color theme="1"/>
      <name val="Poppins"/>
    </font>
    <font>
      <b/>
      <sz val="10"/>
      <color theme="0"/>
      <name val="Poppins"/>
    </font>
    <font>
      <sz val="12"/>
      <color theme="1"/>
      <name val="Poppins"/>
    </font>
    <font>
      <b/>
      <sz val="12"/>
      <color theme="0"/>
      <name val="Poppins"/>
    </font>
    <font>
      <sz val="12"/>
      <color theme="0"/>
      <name val="Poppins"/>
    </font>
    <font>
      <sz val="11"/>
      <name val="Poppins"/>
    </font>
    <font>
      <b/>
      <sz val="11"/>
      <name val="Poppins"/>
    </font>
    <font>
      <b/>
      <sz val="18"/>
      <color theme="4"/>
      <name val="Poppins"/>
    </font>
    <font>
      <b/>
      <sz val="11"/>
      <color theme="0"/>
      <name val="Poppins"/>
    </font>
    <font>
      <b/>
      <sz val="20"/>
      <color theme="9"/>
      <name val="Poppins"/>
    </font>
    <font>
      <vertAlign val="superscript"/>
      <sz val="11"/>
      <name val="Calibri"/>
      <family val="2"/>
      <scheme val="minor"/>
    </font>
    <font>
      <b/>
      <sz val="9"/>
      <color theme="0"/>
      <name val="Poppins"/>
    </font>
    <font>
      <sz val="9"/>
      <name val="Calibri"/>
      <family val="2"/>
      <scheme val="minor"/>
    </font>
    <font>
      <b/>
      <sz val="9"/>
      <name val="Calibri"/>
      <family val="2"/>
      <scheme val="minor"/>
    </font>
    <font>
      <b/>
      <sz val="9"/>
      <color theme="4"/>
      <name val="Calibri"/>
      <family val="2"/>
      <scheme val="minor"/>
    </font>
  </fonts>
  <fills count="9">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7"/>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theme="9"/>
        <bgColor indexed="64"/>
      </patternFill>
    </fill>
  </fills>
  <borders count="8">
    <border>
      <left/>
      <right/>
      <top/>
      <bottom/>
      <diagonal/>
    </border>
    <border>
      <left style="thick">
        <color theme="4"/>
      </left>
      <right style="thick">
        <color theme="4"/>
      </right>
      <top/>
      <bottom/>
      <diagonal/>
    </border>
    <border>
      <left/>
      <right style="thick">
        <color theme="4"/>
      </right>
      <top/>
      <bottom/>
      <diagonal/>
    </border>
    <border>
      <left style="thick">
        <color theme="9"/>
      </left>
      <right style="thick">
        <color theme="9"/>
      </right>
      <top/>
      <bottom/>
      <diagonal/>
    </border>
    <border>
      <left style="thick">
        <color theme="7"/>
      </left>
      <right style="thick">
        <color theme="7"/>
      </right>
      <top/>
      <bottom/>
      <diagonal/>
    </border>
    <border>
      <left style="thick">
        <color theme="4" tint="-0.499984740745262"/>
      </left>
      <right style="thick">
        <color theme="4" tint="-0.499984740745262"/>
      </right>
      <top/>
      <bottom/>
      <diagonal/>
    </border>
    <border>
      <left style="thick">
        <color theme="4" tint="-0.499984740745262"/>
      </left>
      <right style="thick">
        <color theme="4" tint="-0.499984740745262"/>
      </right>
      <top/>
      <bottom style="medium">
        <color theme="7"/>
      </bottom>
      <diagonal/>
    </border>
    <border>
      <left style="thick">
        <color theme="4" tint="-0.499984740745262"/>
      </left>
      <right style="thick">
        <color theme="4" tint="-0.499984740745262"/>
      </right>
      <top style="medium">
        <color theme="7"/>
      </top>
      <bottom style="medium">
        <color theme="7"/>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6" fillId="0" borderId="0" applyNumberFormat="0" applyFill="0" applyBorder="0" applyAlignment="0" applyProtection="0"/>
    <xf numFmtId="0" fontId="18" fillId="0" borderId="0"/>
    <xf numFmtId="0" fontId="20" fillId="0" borderId="0" applyNumberFormat="0" applyFill="0" applyBorder="0" applyAlignment="0" applyProtection="0"/>
  </cellStyleXfs>
  <cellXfs count="162">
    <xf numFmtId="0" fontId="0" fillId="0" borderId="0" xfId="0"/>
    <xf numFmtId="0" fontId="0" fillId="2" borderId="0" xfId="0" applyFill="1"/>
    <xf numFmtId="0" fontId="2" fillId="2" borderId="0" xfId="0" applyFont="1" applyFill="1"/>
    <xf numFmtId="0" fontId="4" fillId="2" borderId="0" xfId="0" applyFont="1" applyFill="1"/>
    <xf numFmtId="0" fontId="0" fillId="2" borderId="0" xfId="0" applyFill="1" applyAlignment="1">
      <alignment wrapText="1"/>
    </xf>
    <xf numFmtId="0" fontId="2" fillId="2" borderId="0" xfId="0" applyFont="1" applyFill="1" applyAlignment="1">
      <alignment vertical="center"/>
    </xf>
    <xf numFmtId="0" fontId="0" fillId="2" borderId="0" xfId="0" applyFill="1" applyAlignment="1">
      <alignment vertical="center"/>
    </xf>
    <xf numFmtId="43" fontId="0" fillId="2" borderId="0" xfId="0" applyNumberFormat="1" applyFill="1"/>
    <xf numFmtId="0" fontId="6" fillId="2" borderId="0" xfId="0" applyFont="1" applyFill="1"/>
    <xf numFmtId="0" fontId="7" fillId="2" borderId="0" xfId="0" applyFont="1" applyFill="1"/>
    <xf numFmtId="0" fontId="9" fillId="2" borderId="0" xfId="0" applyFont="1" applyFill="1"/>
    <xf numFmtId="0" fontId="10" fillId="4" borderId="0" xfId="0" applyFont="1" applyFill="1"/>
    <xf numFmtId="0" fontId="3" fillId="4" borderId="0" xfId="0" applyFont="1" applyFill="1"/>
    <xf numFmtId="2" fontId="0" fillId="2" borderId="0" xfId="0" applyNumberFormat="1" applyFill="1"/>
    <xf numFmtId="44" fontId="0" fillId="2" borderId="0" xfId="2" applyFont="1" applyFill="1"/>
    <xf numFmtId="44" fontId="2" fillId="2" borderId="0" xfId="2" applyFont="1" applyFill="1"/>
    <xf numFmtId="0" fontId="11" fillId="2" borderId="0" xfId="0" applyFont="1" applyFill="1"/>
    <xf numFmtId="0" fontId="12" fillId="2" borderId="0" xfId="0" applyFont="1" applyFill="1"/>
    <xf numFmtId="0" fontId="0" fillId="2" borderId="2" xfId="0" applyFill="1" applyBorder="1"/>
    <xf numFmtId="0" fontId="13" fillId="2" borderId="0" xfId="0" applyFont="1" applyFill="1"/>
    <xf numFmtId="166" fontId="6" fillId="2" borderId="0" xfId="0" applyNumberFormat="1" applyFont="1" applyFill="1"/>
    <xf numFmtId="166" fontId="12" fillId="2" borderId="0" xfId="0" applyNumberFormat="1" applyFont="1" applyFill="1"/>
    <xf numFmtId="166" fontId="0" fillId="2" borderId="0" xfId="2" applyNumberFormat="1" applyFont="1" applyFill="1"/>
    <xf numFmtId="166" fontId="2" fillId="2" borderId="0" xfId="2" applyNumberFormat="1" applyFont="1" applyFill="1"/>
    <xf numFmtId="166" fontId="8" fillId="2" borderId="0" xfId="0" applyNumberFormat="1" applyFont="1" applyFill="1"/>
    <xf numFmtId="166" fontId="8" fillId="2" borderId="0" xfId="2" applyNumberFormat="1" applyFont="1" applyFill="1"/>
    <xf numFmtId="167" fontId="0" fillId="2" borderId="0" xfId="2" applyNumberFormat="1" applyFont="1" applyFill="1" applyBorder="1"/>
    <xf numFmtId="44" fontId="7" fillId="2" borderId="0" xfId="2" applyFont="1" applyFill="1"/>
    <xf numFmtId="168" fontId="0" fillId="2" borderId="0" xfId="1" applyNumberFormat="1" applyFont="1" applyFill="1"/>
    <xf numFmtId="166" fontId="6" fillId="2" borderId="0" xfId="2" applyNumberFormat="1" applyFont="1" applyFill="1"/>
    <xf numFmtId="0" fontId="0" fillId="2" borderId="0" xfId="0" quotePrefix="1" applyFill="1"/>
    <xf numFmtId="44" fontId="0" fillId="2" borderId="0" xfId="2" applyFont="1" applyFill="1" applyBorder="1"/>
    <xf numFmtId="0" fontId="14" fillId="2" borderId="0" xfId="0" applyFont="1" applyFill="1"/>
    <xf numFmtId="0" fontId="12" fillId="2" borderId="0" xfId="0" applyFont="1" applyFill="1" applyAlignment="1">
      <alignment horizontal="right"/>
    </xf>
    <xf numFmtId="166" fontId="15" fillId="2" borderId="0" xfId="0" applyNumberFormat="1" applyFont="1" applyFill="1"/>
    <xf numFmtId="0" fontId="15" fillId="2" borderId="0" xfId="0" applyFont="1" applyFill="1"/>
    <xf numFmtId="0" fontId="0" fillId="2" borderId="0" xfId="0" applyFill="1" applyAlignment="1">
      <alignment horizontal="left" vertical="center" wrapText="1"/>
    </xf>
    <xf numFmtId="0" fontId="2" fillId="2" borderId="0" xfId="0" applyFont="1" applyFill="1" applyAlignment="1">
      <alignment wrapText="1"/>
    </xf>
    <xf numFmtId="0" fontId="16" fillId="0" borderId="0" xfId="4"/>
    <xf numFmtId="166" fontId="3" fillId="4" borderId="0" xfId="2" applyNumberFormat="1" applyFont="1" applyFill="1"/>
    <xf numFmtId="166" fontId="0" fillId="2" borderId="0" xfId="2" applyNumberFormat="1" applyFont="1" applyFill="1" applyAlignment="1">
      <alignment horizontal="left" indent="1"/>
    </xf>
    <xf numFmtId="166" fontId="13" fillId="2" borderId="0" xfId="2" applyNumberFormat="1" applyFont="1" applyFill="1"/>
    <xf numFmtId="166" fontId="5" fillId="4" borderId="0" xfId="2" applyNumberFormat="1" applyFont="1" applyFill="1"/>
    <xf numFmtId="166" fontId="2" fillId="2" borderId="0" xfId="2" applyNumberFormat="1" applyFont="1" applyFill="1" applyAlignment="1">
      <alignment horizontal="left" indent="1"/>
    </xf>
    <xf numFmtId="166" fontId="9" fillId="2" borderId="0" xfId="2" applyNumberFormat="1" applyFont="1" applyFill="1"/>
    <xf numFmtId="168" fontId="6" fillId="2" borderId="0" xfId="1" applyNumberFormat="1" applyFont="1" applyFill="1"/>
    <xf numFmtId="168" fontId="7" fillId="2" borderId="0" xfId="1" applyNumberFormat="1" applyFont="1" applyFill="1"/>
    <xf numFmtId="168" fontId="2" fillId="2" borderId="0" xfId="1" applyNumberFormat="1" applyFont="1" applyFill="1"/>
    <xf numFmtId="168" fontId="1" fillId="2" borderId="0" xfId="1" applyNumberFormat="1" applyFont="1" applyFill="1"/>
    <xf numFmtId="168" fontId="0" fillId="2" borderId="0" xfId="1" applyNumberFormat="1" applyFont="1" applyFill="1" applyAlignment="1">
      <alignment horizontal="left" indent="1"/>
    </xf>
    <xf numFmtId="168" fontId="2" fillId="2" borderId="0" xfId="1" applyNumberFormat="1" applyFont="1" applyFill="1" applyAlignment="1">
      <alignment horizontal="left" indent="1"/>
    </xf>
    <xf numFmtId="166" fontId="0" fillId="2" borderId="0" xfId="2" quotePrefix="1" applyNumberFormat="1" applyFont="1" applyFill="1"/>
    <xf numFmtId="43" fontId="0" fillId="2" borderId="0" xfId="1" applyFont="1" applyFill="1"/>
    <xf numFmtId="169" fontId="0" fillId="2" borderId="0" xfId="1" applyNumberFormat="1" applyFont="1" applyFill="1"/>
    <xf numFmtId="166" fontId="18" fillId="2" borderId="0" xfId="2" applyNumberFormat="1" applyFont="1" applyFill="1"/>
    <xf numFmtId="166" fontId="18" fillId="2" borderId="0" xfId="0" applyNumberFormat="1" applyFont="1" applyFill="1"/>
    <xf numFmtId="168" fontId="0" fillId="6" borderId="0" xfId="1" applyNumberFormat="1" applyFont="1" applyFill="1"/>
    <xf numFmtId="168" fontId="2" fillId="6" borderId="0" xfId="1" applyNumberFormat="1" applyFont="1" applyFill="1"/>
    <xf numFmtId="0" fontId="19" fillId="2" borderId="0" xfId="5" applyFont="1" applyFill="1"/>
    <xf numFmtId="0" fontId="18" fillId="2" borderId="0" xfId="5" applyFill="1"/>
    <xf numFmtId="0" fontId="21" fillId="2" borderId="0" xfId="5" applyFont="1" applyFill="1"/>
    <xf numFmtId="0" fontId="22" fillId="2" borderId="0" xfId="5" applyFont="1" applyFill="1"/>
    <xf numFmtId="0" fontId="1" fillId="2" borderId="0" xfId="5" applyFont="1" applyFill="1"/>
    <xf numFmtId="0" fontId="16" fillId="2" borderId="0" xfId="4" applyFill="1"/>
    <xf numFmtId="0" fontId="25" fillId="4" borderId="0" xfId="0" applyFont="1" applyFill="1"/>
    <xf numFmtId="0" fontId="26" fillId="3" borderId="0" xfId="0" applyFont="1" applyFill="1"/>
    <xf numFmtId="0" fontId="27" fillId="4" borderId="0" xfId="0" applyFont="1" applyFill="1"/>
    <xf numFmtId="0" fontId="28" fillId="4" borderId="0" xfId="0" applyFont="1" applyFill="1"/>
    <xf numFmtId="0" fontId="6" fillId="2" borderId="0" xfId="0" quotePrefix="1" applyFont="1" applyFill="1"/>
    <xf numFmtId="9" fontId="6" fillId="2" borderId="0" xfId="3" applyFont="1" applyFill="1"/>
    <xf numFmtId="0" fontId="29" fillId="2" borderId="0" xfId="0" applyFont="1" applyFill="1"/>
    <xf numFmtId="0" fontId="31" fillId="2" borderId="0" xfId="0" applyFont="1" applyFill="1"/>
    <xf numFmtId="0" fontId="32" fillId="4" borderId="0" xfId="0" applyFont="1" applyFill="1" applyAlignment="1">
      <alignment horizontal="center" vertical="center"/>
    </xf>
    <xf numFmtId="0" fontId="30" fillId="2" borderId="0" xfId="0" applyFont="1" applyFill="1" applyAlignment="1">
      <alignment horizontal="right" vertical="center"/>
    </xf>
    <xf numFmtId="38" fontId="6" fillId="2" borderId="0" xfId="0" applyNumberFormat="1" applyFont="1" applyFill="1"/>
    <xf numFmtId="166" fontId="25" fillId="4" borderId="0" xfId="2" applyNumberFormat="1" applyFont="1" applyFill="1"/>
    <xf numFmtId="0" fontId="23" fillId="2" borderId="0" xfId="0" applyFont="1" applyFill="1"/>
    <xf numFmtId="166" fontId="23" fillId="2" borderId="0" xfId="2" applyNumberFormat="1" applyFont="1" applyFill="1"/>
    <xf numFmtId="166" fontId="24" fillId="2" borderId="0" xfId="2" applyNumberFormat="1" applyFont="1" applyFill="1"/>
    <xf numFmtId="0" fontId="25" fillId="5" borderId="0" xfId="0" applyFont="1" applyFill="1"/>
    <xf numFmtId="166" fontId="25" fillId="5" borderId="0" xfId="2" applyNumberFormat="1" applyFont="1" applyFill="1"/>
    <xf numFmtId="9" fontId="5" fillId="5" borderId="0" xfId="3" applyFont="1" applyFill="1"/>
    <xf numFmtId="0" fontId="6" fillId="2" borderId="0" xfId="0" applyFont="1" applyFill="1" applyAlignment="1">
      <alignment horizontal="right"/>
    </xf>
    <xf numFmtId="0" fontId="0" fillId="2" borderId="0" xfId="0" applyFill="1" applyAlignment="1">
      <alignment horizontal="left" vertical="top" wrapText="1"/>
    </xf>
    <xf numFmtId="43" fontId="0" fillId="2" borderId="0" xfId="1" applyFont="1" applyFill="1" applyBorder="1"/>
    <xf numFmtId="44" fontId="5" fillId="2" borderId="0" xfId="2" applyFont="1" applyFill="1" applyBorder="1"/>
    <xf numFmtId="0" fontId="2" fillId="2" borderId="0" xfId="0" applyFont="1" applyFill="1" applyAlignment="1">
      <alignment horizontal="left" vertical="center" wrapText="1"/>
    </xf>
    <xf numFmtId="0" fontId="10" fillId="7" borderId="0" xfId="0" applyFont="1" applyFill="1"/>
    <xf numFmtId="166" fontId="3" fillId="7" borderId="0" xfId="2" applyNumberFormat="1" applyFont="1" applyFill="1"/>
    <xf numFmtId="166" fontId="5" fillId="7" borderId="0" xfId="2" applyNumberFormat="1" applyFont="1" applyFill="1"/>
    <xf numFmtId="0" fontId="3" fillId="7" borderId="0" xfId="0" applyFont="1" applyFill="1"/>
    <xf numFmtId="0" fontId="25" fillId="7" borderId="0" xfId="0" applyFont="1" applyFill="1"/>
    <xf numFmtId="166" fontId="25" fillId="7" borderId="0" xfId="2" applyNumberFormat="1" applyFont="1" applyFill="1"/>
    <xf numFmtId="9" fontId="5" fillId="7" borderId="0" xfId="3" applyFont="1" applyFill="1"/>
    <xf numFmtId="0" fontId="32" fillId="7" borderId="0" xfId="0" applyFont="1" applyFill="1" applyAlignment="1">
      <alignment horizontal="center" vertical="center"/>
    </xf>
    <xf numFmtId="0" fontId="27" fillId="7" borderId="0" xfId="0" applyFont="1" applyFill="1"/>
    <xf numFmtId="0" fontId="26" fillId="7" borderId="0" xfId="0" applyFont="1" applyFill="1"/>
    <xf numFmtId="0" fontId="26" fillId="8" borderId="0" xfId="0" applyFont="1" applyFill="1"/>
    <xf numFmtId="0" fontId="27" fillId="8" borderId="0" xfId="0" applyFont="1" applyFill="1"/>
    <xf numFmtId="0" fontId="26" fillId="8" borderId="0" xfId="0" applyFont="1" applyFill="1" applyAlignment="1">
      <alignment wrapText="1"/>
    </xf>
    <xf numFmtId="0" fontId="33" fillId="2" borderId="0" xfId="0" applyFont="1" applyFill="1"/>
    <xf numFmtId="0" fontId="5" fillId="8" borderId="1" xfId="0" applyFont="1" applyFill="1" applyBorder="1"/>
    <xf numFmtId="0" fontId="0" fillId="2" borderId="3" xfId="0" applyFill="1" applyBorder="1"/>
    <xf numFmtId="0" fontId="5" fillId="8" borderId="3" xfId="0" applyFont="1" applyFill="1" applyBorder="1"/>
    <xf numFmtId="2" fontId="5" fillId="8" borderId="3" xfId="0" applyNumberFormat="1" applyFont="1" applyFill="1" applyBorder="1"/>
    <xf numFmtId="2" fontId="2" fillId="2" borderId="3" xfId="0" applyNumberFormat="1" applyFont="1" applyFill="1" applyBorder="1"/>
    <xf numFmtId="0" fontId="2" fillId="2" borderId="3" xfId="0" applyFont="1" applyFill="1" applyBorder="1"/>
    <xf numFmtId="0" fontId="0" fillId="2" borderId="3" xfId="0" applyFill="1" applyBorder="1" applyAlignment="1">
      <alignment vertical="center"/>
    </xf>
    <xf numFmtId="168" fontId="5" fillId="8" borderId="3" xfId="1" applyNumberFormat="1" applyFont="1" applyFill="1" applyBorder="1" applyAlignment="1">
      <alignment vertical="center"/>
    </xf>
    <xf numFmtId="168" fontId="5" fillId="8" borderId="3" xfId="1" applyNumberFormat="1" applyFont="1" applyFill="1" applyBorder="1"/>
    <xf numFmtId="168" fontId="0" fillId="2" borderId="3" xfId="0" applyNumberFormat="1" applyFill="1" applyBorder="1"/>
    <xf numFmtId="168" fontId="5" fillId="8" borderId="3" xfId="0" applyNumberFormat="1" applyFont="1" applyFill="1" applyBorder="1"/>
    <xf numFmtId="1" fontId="5" fillId="8" borderId="3" xfId="0" applyNumberFormat="1" applyFont="1" applyFill="1" applyBorder="1"/>
    <xf numFmtId="168" fontId="6" fillId="2" borderId="3" xfId="1" applyNumberFormat="1" applyFont="1" applyFill="1" applyBorder="1" applyAlignment="1">
      <alignment vertical="center"/>
    </xf>
    <xf numFmtId="168" fontId="6" fillId="2" borderId="3" xfId="0" applyNumberFormat="1" applyFont="1" applyFill="1" applyBorder="1" applyAlignment="1">
      <alignment vertical="center"/>
    </xf>
    <xf numFmtId="168" fontId="0" fillId="2" borderId="3" xfId="0" applyNumberFormat="1" applyFill="1" applyBorder="1" applyAlignment="1">
      <alignment vertical="center"/>
    </xf>
    <xf numFmtId="1" fontId="5" fillId="8" borderId="3" xfId="0" applyNumberFormat="1" applyFont="1" applyFill="1" applyBorder="1" applyAlignment="1">
      <alignment vertical="center"/>
    </xf>
    <xf numFmtId="44" fontId="0" fillId="2" borderId="3" xfId="2" applyFont="1" applyFill="1" applyBorder="1"/>
    <xf numFmtId="166" fontId="0" fillId="2" borderId="3" xfId="2" applyNumberFormat="1" applyFont="1" applyFill="1" applyBorder="1"/>
    <xf numFmtId="164" fontId="5" fillId="2" borderId="3" xfId="0" applyNumberFormat="1" applyFont="1" applyFill="1" applyBorder="1"/>
    <xf numFmtId="43" fontId="5" fillId="2" borderId="0" xfId="1" applyFont="1" applyFill="1" applyBorder="1"/>
    <xf numFmtId="43" fontId="5" fillId="2" borderId="0" xfId="0" applyNumberFormat="1" applyFont="1" applyFill="1"/>
    <xf numFmtId="165" fontId="0" fillId="2" borderId="0" xfId="2" applyNumberFormat="1" applyFont="1" applyFill="1" applyBorder="1"/>
    <xf numFmtId="0" fontId="5" fillId="4" borderId="4" xfId="0" applyFont="1" applyFill="1" applyBorder="1"/>
    <xf numFmtId="0" fontId="0" fillId="2" borderId="4" xfId="0" applyFill="1" applyBorder="1"/>
    <xf numFmtId="44" fontId="3" fillId="5" borderId="4" xfId="2" applyFont="1" applyFill="1" applyBorder="1"/>
    <xf numFmtId="167" fontId="0" fillId="2" borderId="4" xfId="2" applyNumberFormat="1" applyFont="1" applyFill="1" applyBorder="1"/>
    <xf numFmtId="165" fontId="0" fillId="2" borderId="4" xfId="2" applyNumberFormat="1" applyFont="1" applyFill="1" applyBorder="1"/>
    <xf numFmtId="44" fontId="0" fillId="2" borderId="4" xfId="2" applyFont="1" applyFill="1" applyBorder="1"/>
    <xf numFmtId="43" fontId="0" fillId="2" borderId="4" xfId="1" applyFont="1" applyFill="1" applyBorder="1"/>
    <xf numFmtId="44" fontId="5" fillId="4" borderId="4" xfId="2" applyFont="1" applyFill="1" applyBorder="1"/>
    <xf numFmtId="44" fontId="0" fillId="2" borderId="4" xfId="2" applyFont="1" applyFill="1" applyBorder="1" applyAlignment="1">
      <alignment vertical="center"/>
    </xf>
    <xf numFmtId="0" fontId="5" fillId="7" borderId="6" xfId="0" applyFont="1" applyFill="1" applyBorder="1"/>
    <xf numFmtId="0" fontId="0" fillId="2" borderId="5" xfId="0" applyFill="1" applyBorder="1"/>
    <xf numFmtId="44" fontId="3" fillId="7" borderId="5" xfId="2" applyFont="1" applyFill="1" applyBorder="1"/>
    <xf numFmtId="165" fontId="0" fillId="2" borderId="5" xfId="2" applyNumberFormat="1" applyFont="1" applyFill="1" applyBorder="1"/>
    <xf numFmtId="167" fontId="0" fillId="2" borderId="5" xfId="2" applyNumberFormat="1" applyFont="1" applyFill="1" applyBorder="1"/>
    <xf numFmtId="44" fontId="0" fillId="2" borderId="5" xfId="2" applyFont="1" applyFill="1" applyBorder="1"/>
    <xf numFmtId="43" fontId="0" fillId="2" borderId="5" xfId="1" applyFont="1" applyFill="1" applyBorder="1"/>
    <xf numFmtId="44" fontId="5" fillId="7" borderId="7" xfId="2" applyFont="1" applyFill="1" applyBorder="1"/>
    <xf numFmtId="44" fontId="0" fillId="2" borderId="5" xfId="2" applyFont="1" applyFill="1" applyBorder="1" applyAlignment="1">
      <alignment vertical="center"/>
    </xf>
    <xf numFmtId="0" fontId="5" fillId="2" borderId="0" xfId="0" applyFont="1" applyFill="1" applyAlignment="1">
      <alignment wrapText="1"/>
    </xf>
    <xf numFmtId="9" fontId="0" fillId="2" borderId="0" xfId="3" applyFont="1" applyFill="1" applyBorder="1"/>
    <xf numFmtId="0" fontId="6" fillId="2" borderId="0" xfId="0" applyFont="1" applyFill="1" applyAlignment="1">
      <alignment wrapText="1"/>
    </xf>
    <xf numFmtId="0" fontId="6" fillId="2" borderId="0" xfId="0" applyFont="1" applyFill="1" applyAlignment="1">
      <alignment horizontal="left"/>
    </xf>
    <xf numFmtId="0" fontId="7" fillId="2" borderId="3" xfId="0" applyFont="1" applyFill="1" applyBorder="1"/>
    <xf numFmtId="168" fontId="6" fillId="2" borderId="3" xfId="0" applyNumberFormat="1" applyFont="1" applyFill="1" applyBorder="1"/>
    <xf numFmtId="0" fontId="6" fillId="2" borderId="3" xfId="0" applyFont="1" applyFill="1" applyBorder="1"/>
    <xf numFmtId="0" fontId="2" fillId="2" borderId="0" xfId="0" quotePrefix="1" applyFont="1" applyFill="1"/>
    <xf numFmtId="0" fontId="2" fillId="2" borderId="3" xfId="0" applyFont="1" applyFill="1" applyBorder="1" applyAlignment="1">
      <alignment vertical="center"/>
    </xf>
    <xf numFmtId="0" fontId="6" fillId="2" borderId="0" xfId="0" applyFont="1" applyFill="1" applyAlignment="1">
      <alignment vertical="center"/>
    </xf>
    <xf numFmtId="44" fontId="6" fillId="2" borderId="5" xfId="2" applyFont="1" applyFill="1" applyBorder="1"/>
    <xf numFmtId="44" fontId="6" fillId="2" borderId="4" xfId="2" applyFont="1" applyFill="1" applyBorder="1"/>
    <xf numFmtId="0" fontId="35" fillId="7" borderId="0" xfId="0" applyFont="1" applyFill="1" applyAlignment="1">
      <alignment horizontal="center" vertical="center" wrapText="1"/>
    </xf>
    <xf numFmtId="0" fontId="6" fillId="2" borderId="0" xfId="0" applyFont="1" applyFill="1" applyAlignment="1">
      <alignment horizontal="center"/>
    </xf>
    <xf numFmtId="9" fontId="36" fillId="2" borderId="0" xfId="3" applyFont="1" applyFill="1" applyAlignment="1">
      <alignment horizontal="center"/>
    </xf>
    <xf numFmtId="0" fontId="36" fillId="2" borderId="0" xfId="0" applyFont="1" applyFill="1" applyAlignment="1">
      <alignment horizontal="center"/>
    </xf>
    <xf numFmtId="166" fontId="36" fillId="2" borderId="0" xfId="0" applyNumberFormat="1" applyFont="1" applyFill="1" applyAlignment="1">
      <alignment horizontal="center"/>
    </xf>
    <xf numFmtId="166" fontId="37" fillId="2" borderId="0" xfId="0" applyNumberFormat="1" applyFont="1" applyFill="1" applyAlignment="1">
      <alignment horizontal="center"/>
    </xf>
    <xf numFmtId="0" fontId="38" fillId="2" borderId="0" xfId="0" applyFont="1" applyFill="1" applyAlignment="1">
      <alignment horizontal="center"/>
    </xf>
    <xf numFmtId="0" fontId="35" fillId="4" borderId="0" xfId="0" applyFont="1" applyFill="1" applyAlignment="1">
      <alignment horizontal="center" vertical="center" wrapText="1"/>
    </xf>
    <xf numFmtId="0" fontId="0" fillId="2" borderId="0" xfId="0" applyFill="1" applyAlignment="1">
      <alignment horizontal="left"/>
    </xf>
  </cellXfs>
  <cellStyles count="7">
    <cellStyle name="Comma" xfId="1" builtinId="3"/>
    <cellStyle name="Currency" xfId="2" builtinId="4"/>
    <cellStyle name="Hyperlink" xfId="4" builtinId="8"/>
    <cellStyle name="Hyperlink 2" xfId="6" xr:uid="{51A8DFF6-EDBF-4DB1-BF2D-9854810B1E87}"/>
    <cellStyle name="Normal" xfId="0" builtinId="0"/>
    <cellStyle name="Normal 2" xfId="5" xr:uid="{B629A948-C36F-4F27-B167-8D6D7FB71BB9}"/>
    <cellStyle name="Percent" xfId="3" builtinId="5"/>
  </cellStyles>
  <dxfs count="2">
    <dxf>
      <font>
        <color rgb="FFFF0000"/>
      </font>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599374</xdr:colOff>
      <xdr:row>1</xdr:row>
      <xdr:rowOff>38805</xdr:rowOff>
    </xdr:from>
    <xdr:to>
      <xdr:col>5</xdr:col>
      <xdr:colOff>583225</xdr:colOff>
      <xdr:row>6</xdr:row>
      <xdr:rowOff>26458</xdr:rowOff>
    </xdr:to>
    <xdr:pic>
      <xdr:nvPicPr>
        <xdr:cNvPr id="2" name="Picture 1" descr="Text&#10;&#10;Description automatically generated with medium confidence">
          <a:extLst>
            <a:ext uri="{FF2B5EF4-FFF2-40B4-BE49-F238E27FC236}">
              <a16:creationId xmlns:a16="http://schemas.microsoft.com/office/drawing/2014/main" id="{3AA616EB-2184-44AD-B9A8-67A7AC106A58}"/>
            </a:ext>
          </a:extLst>
        </xdr:cNvPr>
        <xdr:cNvPicPr>
          <a:picLocks noChangeAspect="1"/>
        </xdr:cNvPicPr>
      </xdr:nvPicPr>
      <xdr:blipFill>
        <a:blip xmlns:r="http://schemas.openxmlformats.org/officeDocument/2006/relationships" r:embed="rId1">
          <a:clrChange>
            <a:clrFrom>
              <a:srgbClr val="FFFFFF"/>
            </a:clrFrom>
            <a:clrTo>
              <a:srgbClr val="FFFFFF">
                <a:alpha val="0"/>
              </a:srgbClr>
            </a:clrTo>
          </a:clrChange>
        </a:blip>
        <a:stretch>
          <a:fillRect/>
        </a:stretch>
      </xdr:blipFill>
      <xdr:spPr>
        <a:xfrm>
          <a:off x="599374" y="237243"/>
          <a:ext cx="3291143" cy="979840"/>
        </a:xfrm>
        <a:prstGeom prst="rect">
          <a:avLst/>
        </a:prstGeom>
      </xdr:spPr>
    </xdr:pic>
    <xdr:clientData/>
  </xdr:twoCellAnchor>
  <xdr:twoCellAnchor>
    <xdr:from>
      <xdr:col>0</xdr:col>
      <xdr:colOff>640292</xdr:colOff>
      <xdr:row>16</xdr:row>
      <xdr:rowOff>10581</xdr:rowOff>
    </xdr:from>
    <xdr:to>
      <xdr:col>11</xdr:col>
      <xdr:colOff>207257</xdr:colOff>
      <xdr:row>33</xdr:row>
      <xdr:rowOff>13228</xdr:rowOff>
    </xdr:to>
    <xdr:sp macro="" textlink="">
      <xdr:nvSpPr>
        <xdr:cNvPr id="4" name="TextBox 3">
          <a:extLst>
            <a:ext uri="{FF2B5EF4-FFF2-40B4-BE49-F238E27FC236}">
              <a16:creationId xmlns:a16="http://schemas.microsoft.com/office/drawing/2014/main" id="{14D52580-E600-4707-85A0-EFAC074C0257}"/>
            </a:ext>
          </a:extLst>
        </xdr:cNvPr>
        <xdr:cNvSpPr txBox="1"/>
      </xdr:nvSpPr>
      <xdr:spPr>
        <a:xfrm>
          <a:off x="640292" y="3511900"/>
          <a:ext cx="6843007" cy="33760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t>This calculator is designed to assist stakeholders in creating their own value assessment of the cost of migrating a facility to the cloud - including use of creative workstations, edit bays, playout, MAM, storage and other components.   The calculator provides the current technology costs to support the scenario as designed (see architectural diagrams) across two cloud providers as a comparison.  </a:t>
          </a:r>
        </a:p>
        <a:p>
          <a:endParaRPr lang="en-US" sz="1200"/>
        </a:p>
        <a:p>
          <a:r>
            <a:rPr lang="en-US" sz="1200"/>
            <a:t>Enter the</a:t>
          </a:r>
          <a:r>
            <a:rPr lang="en-US" sz="1200" baseline="0"/>
            <a:t> basic information about your facility in the green boxes on the </a:t>
          </a:r>
          <a:r>
            <a:rPr lang="en-US" sz="1200"/>
            <a:t>"Inputs" tab</a:t>
          </a:r>
          <a:r>
            <a:rPr lang="en-US" sz="1200" baseline="0"/>
            <a:t>.  Cloud pricing for recommended infrastructure is included in sections 2 and 3 - you can either leave them (based on rate card US.West Availability Zones) or modify for your own pricing.  </a:t>
          </a:r>
          <a:r>
            <a:rPr lang="en-US" sz="1200"/>
            <a:t>You can also add a bulk discount factor if you have</a:t>
          </a:r>
          <a:r>
            <a:rPr lang="en-US" sz="1200" baseline="0"/>
            <a:t> a blanket discount for spend from a cloud provider which will drop all pricing by a fixed percentage.</a:t>
          </a:r>
        </a:p>
        <a:p>
          <a:endParaRPr lang="en-US" sz="1200" baseline="0"/>
        </a:p>
        <a:p>
          <a:r>
            <a:rPr lang="en-US" sz="1200" baseline="0"/>
            <a:t>Tabs named '[</a:t>
          </a:r>
          <a:r>
            <a:rPr lang="en-US" sz="1200" i="1" baseline="0"/>
            <a:t>cloud provider] </a:t>
          </a:r>
          <a:r>
            <a:rPr lang="en-US" sz="1200" baseline="0"/>
            <a:t>Calculations' shows the detailed breakdown of pricing for that operator.  The "Output Comparison" tab compares cloud operator results.  You can run various scenarios in this calculator and </a:t>
          </a:r>
        </a:p>
        <a:p>
          <a:endParaRPr lang="en-US" sz="1200" baseline="0"/>
        </a:p>
        <a:p>
          <a:r>
            <a:rPr lang="en-US" sz="1200" i="1" baseline="0"/>
            <a:t>This is purely an indicative modelling excercise and is not intended to replace any formal budget or business case.  This model is based on the facility design described in the accompanying whitepaper.  To develop your own cloud migration business model or technology design contact Entertainment Technologists. </a:t>
          </a:r>
          <a:endParaRPr lang="en-US" sz="1200" i="1">
            <a:solidFill>
              <a:schemeClr val="accent1"/>
            </a:solidFill>
          </a:endParaRPr>
        </a:p>
      </xdr:txBody>
    </xdr:sp>
    <xdr:clientData/>
  </xdr:twoCellAnchor>
  <xdr:twoCellAnchor>
    <xdr:from>
      <xdr:col>12</xdr:col>
      <xdr:colOff>162102</xdr:colOff>
      <xdr:row>16</xdr:row>
      <xdr:rowOff>39510</xdr:rowOff>
    </xdr:from>
    <xdr:to>
      <xdr:col>27</xdr:col>
      <xdr:colOff>617361</xdr:colOff>
      <xdr:row>29</xdr:row>
      <xdr:rowOff>59796</xdr:rowOff>
    </xdr:to>
    <xdr:sp macro="" textlink="">
      <xdr:nvSpPr>
        <xdr:cNvPr id="5" name="TextBox 4">
          <a:extLst>
            <a:ext uri="{FF2B5EF4-FFF2-40B4-BE49-F238E27FC236}">
              <a16:creationId xmlns:a16="http://schemas.microsoft.com/office/drawing/2014/main" id="{E727C66F-2E45-491B-A603-8A327A9FDEBC}"/>
            </a:ext>
          </a:extLst>
        </xdr:cNvPr>
        <xdr:cNvSpPr txBox="1"/>
      </xdr:nvSpPr>
      <xdr:spPr>
        <a:xfrm>
          <a:off x="8099602" y="3540829"/>
          <a:ext cx="10377134" cy="25999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a:solidFill>
                <a:sysClr val="windowText" lastClr="000000"/>
              </a:solidFill>
              <a:effectLst/>
              <a:latin typeface="+mn-lt"/>
              <a:ea typeface="+mn-ea"/>
              <a:cs typeface="+mn-cs"/>
            </a:rPr>
            <a:t>We assume all content is stored on a single tier of Object Storage (making proxies, masters and archive always available to users).  </a:t>
          </a:r>
        </a:p>
        <a:p>
          <a:r>
            <a:rPr lang="en-US" sz="1100" b="0" i="0" u="none" strike="noStrike">
              <a:solidFill>
                <a:sysClr val="windowText" lastClr="000000"/>
              </a:solidFill>
              <a:effectLst/>
              <a:latin typeface="+mn-lt"/>
              <a:ea typeface="+mn-ea"/>
              <a:cs typeface="+mn-cs"/>
            </a:rPr>
            <a:t>Costs can be reduced by auto-tiering storage unused to cold tiers but with an impact on recovery time of assets for users (up to 24hours). </a:t>
          </a:r>
          <a:r>
            <a:rPr lang="en-US" sz="1200">
              <a:solidFill>
                <a:sysClr val="windowText" lastClr="000000"/>
              </a:solidFill>
              <a:effectLst/>
            </a:rPr>
            <a:t> </a:t>
          </a:r>
        </a:p>
        <a:p>
          <a:r>
            <a:rPr lang="en-US" sz="1100" b="0" i="0" u="none" strike="noStrike">
              <a:solidFill>
                <a:sysClr val="windowText" lastClr="000000"/>
              </a:solidFill>
              <a:effectLst/>
              <a:latin typeface="+mn-lt"/>
              <a:ea typeface="+mn-ea"/>
              <a:cs typeface="+mn-cs"/>
            </a:rPr>
            <a:t>Egress is calculated from cloud (eg. Streaming networks, desktop machines) to public internet.  This allows for work from anywhere scenarios but could be lowered if all users are in an office with a direct connect connection to the cloud, the same is true if the broadcast streams do not exit the cloud but traverse the cloud to a CDN.</a:t>
          </a:r>
        </a:p>
        <a:p>
          <a:r>
            <a:rPr lang="en-US" sz="1200">
              <a:solidFill>
                <a:sysClr val="windowText" lastClr="000000"/>
              </a:solidFill>
              <a:effectLst/>
            </a:rPr>
            <a:t>Assumes n</a:t>
          </a:r>
          <a:r>
            <a:rPr lang="en-US" sz="1100" b="0" i="0" u="none" strike="noStrike">
              <a:solidFill>
                <a:sysClr val="windowText" lastClr="000000"/>
              </a:solidFill>
              <a:effectLst/>
              <a:latin typeface="+mn-lt"/>
              <a:ea typeface="+mn-ea"/>
              <a:cs typeface="+mn-cs"/>
            </a:rPr>
            <a:t>o charge for egress from object storage into working storage on VMs </a:t>
          </a:r>
          <a:r>
            <a:rPr lang="en-US" sz="1200">
              <a:solidFill>
                <a:sysClr val="windowText" lastClr="000000"/>
              </a:solidFill>
              <a:effectLst/>
            </a:rPr>
            <a:t> </a:t>
          </a:r>
        </a:p>
        <a:p>
          <a:r>
            <a:rPr lang="en-US" sz="1100" b="0" i="0" u="none" strike="noStrike">
              <a:solidFill>
                <a:sysClr val="windowText" lastClr="000000"/>
              </a:solidFill>
              <a:effectLst/>
              <a:latin typeface="+mn-lt"/>
              <a:ea typeface="+mn-ea"/>
              <a:cs typeface="+mn-cs"/>
            </a:rPr>
            <a:t>Assumes users, content and compute are all in the same cloud region (so no intra-region copying)</a:t>
          </a:r>
          <a:r>
            <a:rPr lang="en-US" sz="1200">
              <a:solidFill>
                <a:sysClr val="windowText" lastClr="000000"/>
              </a:solidFill>
              <a:effectLst/>
            </a:rPr>
            <a:t> </a:t>
          </a:r>
        </a:p>
        <a:p>
          <a:r>
            <a:rPr lang="en-US" sz="1100" b="0" i="0" u="none" strike="noStrike">
              <a:solidFill>
                <a:sysClr val="windowText" lastClr="000000"/>
              </a:solidFill>
              <a:effectLst/>
              <a:latin typeface="+mn-lt"/>
              <a:ea typeface="+mn-ea"/>
              <a:cs typeface="+mn-cs"/>
            </a:rPr>
            <a:t>Other cloud charges like  Management console, IP address,  API fees for every file access request (GET, PUT etc) are excluded as they are largely de minims</a:t>
          </a:r>
          <a:r>
            <a:rPr lang="en-US" sz="1200">
              <a:solidFill>
                <a:sysClr val="windowText" lastClr="000000"/>
              </a:solidFill>
              <a:effectLst/>
            </a:rPr>
            <a:t> </a:t>
          </a:r>
        </a:p>
        <a:p>
          <a:r>
            <a:rPr lang="en-US" sz="1100" b="0" i="0" u="none" strike="noStrike">
              <a:solidFill>
                <a:sysClr val="windowText" lastClr="000000"/>
              </a:solidFill>
              <a:effectLst/>
              <a:latin typeface="+mn-lt"/>
              <a:ea typeface="+mn-ea"/>
              <a:cs typeface="+mn-cs"/>
            </a:rPr>
            <a:t>Assume that workstations are suspended during off hours (so not left running for duration of the project). To change this assumption change number of working hours to 24 to show machines when they are left on</a:t>
          </a:r>
          <a:r>
            <a:rPr lang="en-US" sz="1200">
              <a:solidFill>
                <a:sysClr val="windowText" lastClr="000000"/>
              </a:solidFill>
              <a:effectLst/>
            </a:rPr>
            <a:t> </a:t>
          </a:r>
        </a:p>
        <a:p>
          <a:r>
            <a:rPr lang="en-US" sz="1100" b="0" i="0" u="none" strike="noStrike">
              <a:solidFill>
                <a:sysClr val="windowText" lastClr="000000"/>
              </a:solidFill>
              <a:effectLst/>
              <a:latin typeface="+mn-lt"/>
              <a:ea typeface="+mn-ea"/>
              <a:cs typeface="+mn-cs"/>
            </a:rPr>
            <a:t>Assumed storage, compute and users are in US-West region  but other regions can be accomodated by changing the pricing</a:t>
          </a:r>
          <a:r>
            <a:rPr lang="en-US" sz="1200">
              <a:solidFill>
                <a:sysClr val="windowText" lastClr="000000"/>
              </a:solidFill>
              <a:effectLst/>
            </a:rPr>
            <a:t> </a:t>
          </a:r>
        </a:p>
        <a:p>
          <a:r>
            <a:rPr lang="en-US" sz="1100" b="0" i="0" u="none" strike="noStrike">
              <a:solidFill>
                <a:sysClr val="windowText" lastClr="000000"/>
              </a:solidFill>
              <a:effectLst/>
              <a:latin typeface="+mn-lt"/>
              <a:ea typeface="+mn-ea"/>
              <a:cs typeface="+mn-cs"/>
            </a:rPr>
            <a:t>Licensing for a PCoIP solution is included but the license fees for software migrated from on-prem are not included as they would need to be paid whether on cloud or local</a:t>
          </a:r>
          <a:r>
            <a:rPr lang="en-US" sz="1200">
              <a:solidFill>
                <a:sysClr val="windowText" lastClr="000000"/>
              </a:solidFill>
              <a:effectLst/>
            </a:rPr>
            <a:t> </a:t>
          </a:r>
          <a:r>
            <a:rPr lang="en-US" sz="1100" b="0" i="0" u="none" strike="noStrike">
              <a:solidFill>
                <a:sysClr val="windowText" lastClr="000000"/>
              </a:solidFill>
              <a:effectLst/>
              <a:latin typeface="+mn-lt"/>
              <a:ea typeface="+mn-ea"/>
              <a:cs typeface="+mn-cs"/>
            </a:rPr>
            <a:t>Ingressed data continues to accrue so year 2 will be require an increase in storage over year 1 (unless clients are purging archives at a 1:1 rate)</a:t>
          </a:r>
          <a:r>
            <a:rPr lang="en-US" sz="1200">
              <a:solidFill>
                <a:sysClr val="windowText" lastClr="000000"/>
              </a:solidFill>
              <a:effectLst/>
            </a:rPr>
            <a:t> </a:t>
          </a:r>
        </a:p>
        <a:p>
          <a:r>
            <a:rPr lang="en-US" sz="1100" b="0" i="0" u="none" strike="noStrike">
              <a:solidFill>
                <a:sysClr val="windowText" lastClr="000000"/>
              </a:solidFill>
              <a:effectLst/>
              <a:latin typeface="+mn-lt"/>
              <a:ea typeface="+mn-ea"/>
              <a:cs typeface="+mn-cs"/>
            </a:rPr>
            <a:t>Non-Premptible pricing on VMs is used rather than Spot or preemptible machines - enter pricing for Spot to calculate savings but you should assume a % of machines may fail and need to restart</a:t>
          </a:r>
          <a:r>
            <a:rPr lang="en-US" sz="1200">
              <a:solidFill>
                <a:sysClr val="windowText" lastClr="000000"/>
              </a:solidFill>
              <a:effectLst/>
            </a:rPr>
            <a:t> </a:t>
          </a:r>
        </a:p>
        <a:p>
          <a:r>
            <a:rPr lang="en-US" sz="1100" b="0" i="0" u="none" strike="noStrike">
              <a:solidFill>
                <a:sysClr val="windowText" lastClr="000000"/>
              </a:solidFill>
              <a:effectLst/>
              <a:latin typeface="+mn-lt"/>
              <a:ea typeface="+mn-ea"/>
              <a:cs typeface="+mn-cs"/>
            </a:rPr>
            <a:t>Assumes playout of streams ready for cable, broadcast and streaming but no distribution costs (eg. CDN). </a:t>
          </a:r>
        </a:p>
        <a:p>
          <a:r>
            <a:rPr lang="en-US" sz="1100" b="0" i="0" u="none" strike="noStrike">
              <a:solidFill>
                <a:sysClr val="windowText" lastClr="000000"/>
              </a:solidFill>
              <a:effectLst/>
              <a:latin typeface="+mn-lt"/>
              <a:ea typeface="+mn-ea"/>
              <a:cs typeface="+mn-cs"/>
            </a:rPr>
            <a:t>Assumes cable/satellite syndication partners are reencoding the broadcast signal</a:t>
          </a:r>
          <a:endParaRPr lang="en-US" sz="1200" i="1">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323850</xdr:colOff>
      <xdr:row>2</xdr:row>
      <xdr:rowOff>133350</xdr:rowOff>
    </xdr:from>
    <xdr:to>
      <xdr:col>3</xdr:col>
      <xdr:colOff>659130</xdr:colOff>
      <xdr:row>4</xdr:row>
      <xdr:rowOff>11430</xdr:rowOff>
    </xdr:to>
    <xdr:sp macro="" textlink="">
      <xdr:nvSpPr>
        <xdr:cNvPr id="3" name="Oval 2">
          <a:extLst>
            <a:ext uri="{FF2B5EF4-FFF2-40B4-BE49-F238E27FC236}">
              <a16:creationId xmlns:a16="http://schemas.microsoft.com/office/drawing/2014/main" id="{143A2D26-FB99-4165-8EBA-3F5C1073AF62}"/>
            </a:ext>
          </a:extLst>
        </xdr:cNvPr>
        <xdr:cNvSpPr/>
      </xdr:nvSpPr>
      <xdr:spPr>
        <a:xfrm>
          <a:off x="3756660" y="2838450"/>
          <a:ext cx="335280" cy="323850"/>
        </a:xfrm>
        <a:prstGeom prst="ellipse">
          <a:avLst/>
        </a:prstGeom>
        <a:solidFill>
          <a:schemeClr val="tx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US" sz="1600" b="1">
              <a:solidFill>
                <a:schemeClr val="bg1"/>
              </a:solidFill>
            </a:rPr>
            <a:t>1</a:t>
          </a:r>
          <a:endParaRPr lang="en-US" sz="1100" b="1">
            <a:solidFill>
              <a:schemeClr val="bg1"/>
            </a:solidFill>
          </a:endParaRPr>
        </a:p>
      </xdr:txBody>
    </xdr:sp>
    <xdr:clientData/>
  </xdr:twoCellAnchor>
  <xdr:twoCellAnchor>
    <xdr:from>
      <xdr:col>7</xdr:col>
      <xdr:colOff>152400</xdr:colOff>
      <xdr:row>2</xdr:row>
      <xdr:rowOff>148590</xdr:rowOff>
    </xdr:from>
    <xdr:to>
      <xdr:col>7</xdr:col>
      <xdr:colOff>487680</xdr:colOff>
      <xdr:row>4</xdr:row>
      <xdr:rowOff>26670</xdr:rowOff>
    </xdr:to>
    <xdr:sp macro="" textlink="">
      <xdr:nvSpPr>
        <xdr:cNvPr id="4" name="Oval 3">
          <a:extLst>
            <a:ext uri="{FF2B5EF4-FFF2-40B4-BE49-F238E27FC236}">
              <a16:creationId xmlns:a16="http://schemas.microsoft.com/office/drawing/2014/main" id="{C0DBEF02-384C-444F-B850-D386815D1B34}"/>
            </a:ext>
          </a:extLst>
        </xdr:cNvPr>
        <xdr:cNvSpPr/>
      </xdr:nvSpPr>
      <xdr:spPr>
        <a:xfrm>
          <a:off x="9780270" y="2853690"/>
          <a:ext cx="335280" cy="323850"/>
        </a:xfrm>
        <a:prstGeom prst="ellipse">
          <a:avLst/>
        </a:prstGeom>
        <a:solidFill>
          <a:schemeClr val="tx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US" sz="1600" b="1">
              <a:solidFill>
                <a:schemeClr val="bg1"/>
              </a:solidFill>
            </a:rPr>
            <a:t>2</a:t>
          </a:r>
          <a:endParaRPr lang="en-US" sz="1100" b="1">
            <a:solidFill>
              <a:schemeClr val="bg1"/>
            </a:solidFill>
          </a:endParaRPr>
        </a:p>
      </xdr:txBody>
    </xdr:sp>
    <xdr:clientData/>
  </xdr:twoCellAnchor>
  <xdr:twoCellAnchor>
    <xdr:from>
      <xdr:col>12</xdr:col>
      <xdr:colOff>97195</xdr:colOff>
      <xdr:row>2</xdr:row>
      <xdr:rowOff>170477</xdr:rowOff>
    </xdr:from>
    <xdr:to>
      <xdr:col>12</xdr:col>
      <xdr:colOff>432475</xdr:colOff>
      <xdr:row>4</xdr:row>
      <xdr:rowOff>48557</xdr:rowOff>
    </xdr:to>
    <xdr:sp macro="" textlink="">
      <xdr:nvSpPr>
        <xdr:cNvPr id="5" name="Oval 4">
          <a:extLst>
            <a:ext uri="{FF2B5EF4-FFF2-40B4-BE49-F238E27FC236}">
              <a16:creationId xmlns:a16="http://schemas.microsoft.com/office/drawing/2014/main" id="{EB7E9FA9-F86E-4492-ADF8-EEFBD122F8E3}"/>
            </a:ext>
          </a:extLst>
        </xdr:cNvPr>
        <xdr:cNvSpPr/>
      </xdr:nvSpPr>
      <xdr:spPr>
        <a:xfrm>
          <a:off x="17927184" y="2869903"/>
          <a:ext cx="335280" cy="323931"/>
        </a:xfrm>
        <a:prstGeom prst="ellipse">
          <a:avLst/>
        </a:prstGeom>
        <a:solidFill>
          <a:schemeClr val="tx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US" sz="1600" b="1">
              <a:solidFill>
                <a:schemeClr val="bg1"/>
              </a:solidFill>
            </a:rPr>
            <a:t>3</a:t>
          </a:r>
          <a:endParaRPr lang="en-US" sz="1100" b="1">
            <a:solidFill>
              <a:schemeClr val="bg1"/>
            </a:solidFill>
          </a:endParaRPr>
        </a:p>
      </xdr:txBody>
    </xdr:sp>
    <xdr:clientData/>
  </xdr:twoCellAnchor>
</xdr:wsDr>
</file>

<file path=xl/persons/person.xml><?xml version="1.0" encoding="utf-8"?>
<personList xmlns="http://schemas.microsoft.com/office/spreadsheetml/2018/threadedcomments" xmlns:x="http://schemas.openxmlformats.org/spreadsheetml/2006/main">
  <person displayName="Mark Turner" id="{CEE04A04-AC16-4BFE-A3D4-FE6722B6A129}" userId="Mark Turner" providerId="None"/>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16" dT="2020-06-04T22:41:04.42" personId="{CEE04A04-AC16-4BFE-A3D4-FE6722B6A129}" id="{C32CEF7C-0B23-498D-A7FF-945ECA8C488F}">
    <text>https://aws.amazon.com/ec2/pricing/on-demand/</text>
  </threadedComment>
  <threadedComment ref="H29" dT="2020-06-04T22:36:04.90" personId="{CEE04A04-AC16-4BFE-A3D4-FE6722B6A129}" id="{BB55C679-6CE6-47ED-99BD-C2F5BD28835A}">
    <text>https://aws.amazon.com/ec2/pricing/on-demand/</text>
  </threadedComment>
</ThreadedComments>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ntertainmenttechnologists.com/cloud" TargetMode="External"/><Relationship Id="rId1" Type="http://schemas.openxmlformats.org/officeDocument/2006/relationships/hyperlink" Target="mailto:mark.turner@entertainmenttechnologists.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anyware.hp.com/knowledge/pcoip-audio-quality-and-bandwidth?r=1157&amp;ui-knowledge-components-aura-actions.KnowledgeArticleVersionCreateDraftFromOnlineAction.createDraftFromOnlineArticle=1&amp;ui-knowledge-aloha-components-aura-components-knowledgeone.ArticleActions.handleEditPublished=1" TargetMode="External"/><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0FF7A-C227-411A-A25D-C36AF30F7F47}">
  <dimension ref="B8:M38"/>
  <sheetViews>
    <sheetView tabSelected="1" zoomScale="108" workbookViewId="0">
      <selection activeCell="R34" sqref="R34"/>
    </sheetView>
  </sheetViews>
  <sheetFormatPr defaultColWidth="9.265625" defaultRowHeight="15.75" x14ac:dyDescent="0.5"/>
  <cols>
    <col min="1" max="16384" width="9.265625" style="59"/>
  </cols>
  <sheetData>
    <row r="8" spans="2:13" ht="34.15" x14ac:dyDescent="1.85">
      <c r="B8" s="58" t="s">
        <v>148</v>
      </c>
    </row>
    <row r="9" spans="2:13" x14ac:dyDescent="0.5">
      <c r="B9" s="59" t="s">
        <v>149</v>
      </c>
    </row>
    <row r="10" spans="2:13" x14ac:dyDescent="0.5">
      <c r="B10" s="63" t="s">
        <v>150</v>
      </c>
    </row>
    <row r="12" spans="2:13" x14ac:dyDescent="0.5">
      <c r="B12" s="59" t="s">
        <v>146</v>
      </c>
    </row>
    <row r="13" spans="2:13" x14ac:dyDescent="0.5">
      <c r="B13" s="59" t="s">
        <v>151</v>
      </c>
    </row>
    <row r="14" spans="2:13" x14ac:dyDescent="0.5">
      <c r="B14" s="59" t="s">
        <v>155</v>
      </c>
    </row>
    <row r="16" spans="2:13" ht="22.9" x14ac:dyDescent="1.25">
      <c r="B16" s="60" t="s">
        <v>147</v>
      </c>
      <c r="M16" s="60" t="s">
        <v>156</v>
      </c>
    </row>
    <row r="36" spans="2:2" ht="21" x14ac:dyDescent="1.1499999999999999">
      <c r="B36" s="61" t="s">
        <v>153</v>
      </c>
    </row>
    <row r="37" spans="2:2" x14ac:dyDescent="0.5">
      <c r="B37" s="62" t="s">
        <v>154</v>
      </c>
    </row>
    <row r="38" spans="2:2" x14ac:dyDescent="0.5">
      <c r="B38" s="63" t="s">
        <v>152</v>
      </c>
    </row>
  </sheetData>
  <hyperlinks>
    <hyperlink ref="B38" r:id="rId1" xr:uid="{896D21BB-EE01-4DE3-9D5A-4782E56E5944}"/>
    <hyperlink ref="B10" r:id="rId2" xr:uid="{717C869D-E0C8-4E4A-9435-AA7F349F802D}"/>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95185-E573-4762-81D0-7A09A2970E76}">
  <sheetPr>
    <tabColor rgb="FF7030A0"/>
  </sheetPr>
  <dimension ref="A1:O82"/>
  <sheetViews>
    <sheetView zoomScale="114" zoomScaleNormal="65" workbookViewId="0">
      <selection activeCell="G29" sqref="G29"/>
    </sheetView>
  </sheetViews>
  <sheetFormatPr defaultColWidth="8.86328125" defaultRowHeight="14.25" x14ac:dyDescent="0.45"/>
  <cols>
    <col min="1" max="1" width="14.6640625" style="1" customWidth="1"/>
    <col min="2" max="2" width="13" style="1" customWidth="1"/>
    <col min="3" max="3" width="37.265625" style="1" customWidth="1"/>
    <col min="4" max="4" width="13.33203125" style="1" bestFit="1" customWidth="1"/>
    <col min="5" max="5" width="61.59765625" style="4" customWidth="1"/>
    <col min="6" max="6" width="10.59765625" style="1" customWidth="1"/>
    <col min="7" max="7" width="32.06640625" style="1" customWidth="1"/>
    <col min="8" max="8" width="10.19921875" style="1" customWidth="1"/>
    <col min="9" max="9" width="48.06640625" style="1" customWidth="1"/>
    <col min="10" max="10" width="6.73046875" style="1" customWidth="1"/>
    <col min="11" max="11" width="12" style="1" customWidth="1"/>
    <col min="12" max="12" width="34.59765625" style="1" customWidth="1"/>
    <col min="13" max="13" width="8.86328125" style="1"/>
    <col min="14" max="14" width="56.19921875" style="1" customWidth="1"/>
    <col min="15" max="16384" width="8.86328125" style="1"/>
  </cols>
  <sheetData>
    <row r="1" spans="1:15" ht="37.9" x14ac:dyDescent="2.0499999999999998">
      <c r="B1" s="100" t="s">
        <v>157</v>
      </c>
      <c r="G1" s="2"/>
    </row>
    <row r="2" spans="1:15" x14ac:dyDescent="0.45">
      <c r="B2" s="1" t="s">
        <v>185</v>
      </c>
    </row>
    <row r="4" spans="1:15" s="65" customFormat="1" ht="22.9" x14ac:dyDescent="1.25">
      <c r="A4" s="97"/>
      <c r="B4" s="98" t="s">
        <v>94</v>
      </c>
      <c r="C4" s="97"/>
      <c r="D4" s="97"/>
      <c r="E4" s="99"/>
      <c r="F4" s="66" t="s">
        <v>144</v>
      </c>
      <c r="G4" s="67"/>
      <c r="H4" s="67"/>
      <c r="I4" s="67"/>
      <c r="J4" s="67"/>
      <c r="K4" s="95" t="s">
        <v>93</v>
      </c>
      <c r="L4" s="96"/>
      <c r="M4" s="96"/>
      <c r="N4" s="96"/>
      <c r="O4" s="96"/>
    </row>
    <row r="5" spans="1:15" ht="14.65" thickBot="1" x14ac:dyDescent="0.5">
      <c r="A5" s="2" t="s">
        <v>179</v>
      </c>
      <c r="B5" s="1" t="s">
        <v>58</v>
      </c>
      <c r="D5" s="102">
        <v>3000</v>
      </c>
      <c r="E5" s="4" t="s">
        <v>61</v>
      </c>
      <c r="F5" s="2" t="s">
        <v>0</v>
      </c>
      <c r="G5" s="1" t="s">
        <v>21</v>
      </c>
      <c r="H5" s="123">
        <v>6640</v>
      </c>
      <c r="I5" s="1" t="s">
        <v>22</v>
      </c>
      <c r="K5" s="2" t="s">
        <v>0</v>
      </c>
      <c r="L5" s="1" t="s">
        <v>21</v>
      </c>
      <c r="M5" s="132">
        <v>6640</v>
      </c>
      <c r="N5" s="1" t="s">
        <v>22</v>
      </c>
    </row>
    <row r="6" spans="1:15" x14ac:dyDescent="0.45">
      <c r="A6" s="2"/>
      <c r="B6" s="1" t="s">
        <v>31</v>
      </c>
      <c r="D6" s="102">
        <v>800</v>
      </c>
      <c r="E6" s="4" t="s">
        <v>187</v>
      </c>
      <c r="H6" s="124"/>
      <c r="M6" s="133"/>
    </row>
    <row r="7" spans="1:15" x14ac:dyDescent="0.45">
      <c r="A7" s="2"/>
      <c r="B7" s="8" t="s">
        <v>197</v>
      </c>
      <c r="C7" s="8"/>
      <c r="D7" s="147">
        <v>0</v>
      </c>
      <c r="E7" s="4" t="s">
        <v>62</v>
      </c>
      <c r="G7" s="1" t="s">
        <v>63</v>
      </c>
      <c r="H7" s="124">
        <v>2.3E-2</v>
      </c>
      <c r="I7" s="1" t="s">
        <v>1</v>
      </c>
      <c r="L7" s="1" t="s">
        <v>178</v>
      </c>
      <c r="M7" s="133">
        <v>0.03</v>
      </c>
      <c r="N7" s="1" t="s">
        <v>1</v>
      </c>
    </row>
    <row r="8" spans="1:15" x14ac:dyDescent="0.45">
      <c r="A8" s="2"/>
      <c r="B8" s="8" t="s">
        <v>32</v>
      </c>
      <c r="C8" s="8"/>
      <c r="D8" s="147">
        <v>2000</v>
      </c>
      <c r="E8" s="4" t="s">
        <v>61</v>
      </c>
      <c r="F8" s="2"/>
      <c r="H8" s="125">
        <f>H7*1024</f>
        <v>23.552</v>
      </c>
      <c r="I8" s="1" t="s">
        <v>71</v>
      </c>
      <c r="K8" s="2"/>
      <c r="M8" s="134">
        <f>M7*1024</f>
        <v>30.72</v>
      </c>
      <c r="N8" s="1" t="s">
        <v>71</v>
      </c>
    </row>
    <row r="9" spans="1:15" x14ac:dyDescent="0.45">
      <c r="A9" s="2"/>
      <c r="B9" s="8" t="s">
        <v>198</v>
      </c>
      <c r="C9" s="8"/>
      <c r="D9" s="147">
        <v>20</v>
      </c>
      <c r="E9" s="4" t="s">
        <v>199</v>
      </c>
      <c r="F9" s="2"/>
      <c r="H9" s="125"/>
      <c r="K9" s="2"/>
      <c r="M9" s="134"/>
    </row>
    <row r="10" spans="1:15" x14ac:dyDescent="0.45">
      <c r="A10" s="2"/>
      <c r="B10" s="1" t="s">
        <v>60</v>
      </c>
      <c r="D10" s="102">
        <v>20</v>
      </c>
      <c r="E10" s="4" t="s">
        <v>59</v>
      </c>
      <c r="F10" s="2"/>
      <c r="G10" s="1" t="s">
        <v>180</v>
      </c>
      <c r="H10" s="126">
        <v>0.08</v>
      </c>
      <c r="I10" s="1" t="s">
        <v>1</v>
      </c>
      <c r="K10" s="2"/>
      <c r="L10" s="1" t="s">
        <v>226</v>
      </c>
      <c r="M10" s="151">
        <v>7.0000000000000007E-2</v>
      </c>
      <c r="N10" s="1" t="s">
        <v>1</v>
      </c>
    </row>
    <row r="11" spans="1:15" x14ac:dyDescent="0.45">
      <c r="A11" s="2"/>
      <c r="B11" s="2" t="s">
        <v>196</v>
      </c>
      <c r="C11" s="2"/>
      <c r="D11" s="103">
        <f>SUM(D5:D10)</f>
        <v>5840</v>
      </c>
      <c r="E11" s="37" t="s">
        <v>34</v>
      </c>
      <c r="H11" s="125">
        <f>H10*1024</f>
        <v>81.92</v>
      </c>
      <c r="I11" s="1" t="s">
        <v>71</v>
      </c>
      <c r="M11" s="134">
        <f>M10*1024</f>
        <v>71.680000000000007</v>
      </c>
      <c r="N11" s="1" t="s">
        <v>71</v>
      </c>
    </row>
    <row r="12" spans="1:15" x14ac:dyDescent="0.45">
      <c r="A12" s="2"/>
      <c r="D12" s="104">
        <f>D11/1024</f>
        <v>5.703125</v>
      </c>
      <c r="E12" s="37" t="s">
        <v>35</v>
      </c>
      <c r="F12" s="2"/>
      <c r="G12" s="1" t="s">
        <v>2</v>
      </c>
      <c r="H12" s="127">
        <v>6.5000000000000002E-2</v>
      </c>
      <c r="I12" s="1" t="s">
        <v>23</v>
      </c>
      <c r="K12" s="2"/>
      <c r="L12" s="1" t="s">
        <v>2</v>
      </c>
      <c r="M12" s="135">
        <v>0</v>
      </c>
      <c r="N12" s="1" t="s">
        <v>23</v>
      </c>
    </row>
    <row r="13" spans="1:15" x14ac:dyDescent="0.45">
      <c r="A13" s="2"/>
      <c r="D13" s="105"/>
      <c r="E13" s="37"/>
      <c r="F13" s="2" t="s">
        <v>64</v>
      </c>
      <c r="G13" s="1" t="s">
        <v>65</v>
      </c>
      <c r="H13" s="127">
        <v>5.0000000000000001E-3</v>
      </c>
      <c r="I13" s="1" t="s">
        <v>66</v>
      </c>
      <c r="K13" s="2" t="s">
        <v>64</v>
      </c>
      <c r="L13" s="1" t="s">
        <v>65</v>
      </c>
      <c r="M13" s="135">
        <v>0</v>
      </c>
      <c r="N13" s="1" t="s">
        <v>66</v>
      </c>
    </row>
    <row r="14" spans="1:15" ht="28.5" x14ac:dyDescent="0.45">
      <c r="A14" s="37" t="s">
        <v>205</v>
      </c>
      <c r="B14" s="2" t="s">
        <v>39</v>
      </c>
      <c r="C14" s="2"/>
      <c r="D14" s="106">
        <v>12</v>
      </c>
      <c r="E14" s="37" t="s">
        <v>36</v>
      </c>
      <c r="F14" s="2"/>
      <c r="G14" s="1" t="s">
        <v>67</v>
      </c>
      <c r="H14" s="127">
        <v>4.0000000000000002E-4</v>
      </c>
      <c r="I14" s="1" t="s">
        <v>66</v>
      </c>
      <c r="K14" s="2"/>
      <c r="L14" s="1" t="s">
        <v>67</v>
      </c>
      <c r="M14" s="135">
        <v>0</v>
      </c>
      <c r="N14" s="1" t="s">
        <v>66</v>
      </c>
    </row>
    <row r="15" spans="1:15" x14ac:dyDescent="0.45">
      <c r="A15" s="2"/>
      <c r="B15" s="1" t="s">
        <v>41</v>
      </c>
      <c r="D15" s="102">
        <f>10*6</f>
        <v>60</v>
      </c>
      <c r="E15" s="4" t="s">
        <v>37</v>
      </c>
      <c r="F15" s="1" t="s">
        <v>3</v>
      </c>
      <c r="G15" s="1" t="s">
        <v>4</v>
      </c>
      <c r="H15" s="127">
        <v>0</v>
      </c>
      <c r="I15" s="1" t="s">
        <v>126</v>
      </c>
      <c r="K15" s="1" t="s">
        <v>3</v>
      </c>
      <c r="L15" s="1" t="s">
        <v>4</v>
      </c>
      <c r="M15" s="135">
        <v>0</v>
      </c>
      <c r="N15" s="1" t="s">
        <v>126</v>
      </c>
    </row>
    <row r="16" spans="1:15" ht="15.75" x14ac:dyDescent="0.45">
      <c r="A16" s="2"/>
      <c r="B16" s="30" t="s">
        <v>43</v>
      </c>
      <c r="D16" s="107">
        <v>30</v>
      </c>
      <c r="E16" s="4" t="s">
        <v>46</v>
      </c>
      <c r="F16" s="2" t="s">
        <v>5</v>
      </c>
      <c r="G16" s="1" t="s">
        <v>6</v>
      </c>
      <c r="H16" s="127">
        <v>0</v>
      </c>
      <c r="I16" s="1" t="s">
        <v>7</v>
      </c>
      <c r="K16" s="2" t="s">
        <v>5</v>
      </c>
      <c r="L16" s="1" t="s">
        <v>6</v>
      </c>
      <c r="M16" s="135">
        <v>0</v>
      </c>
      <c r="N16" s="1" t="s">
        <v>7</v>
      </c>
    </row>
    <row r="17" spans="1:14" x14ac:dyDescent="0.45">
      <c r="A17" s="2"/>
      <c r="B17" s="30" t="s">
        <v>50</v>
      </c>
      <c r="D17" s="107">
        <v>4000</v>
      </c>
      <c r="E17" s="4" t="s">
        <v>53</v>
      </c>
      <c r="G17" s="1" t="s">
        <v>8</v>
      </c>
      <c r="H17" s="126">
        <v>0.09</v>
      </c>
      <c r="I17" s="1" t="s">
        <v>9</v>
      </c>
      <c r="L17" s="1" t="s">
        <v>8</v>
      </c>
      <c r="M17" s="136">
        <v>0</v>
      </c>
      <c r="N17" s="1" t="s">
        <v>9</v>
      </c>
    </row>
    <row r="18" spans="1:14" x14ac:dyDescent="0.45">
      <c r="A18" s="2"/>
      <c r="B18" s="30"/>
      <c r="D18" s="108">
        <f>(((D16/8)*60*60)/1024)*D15</f>
        <v>791.015625</v>
      </c>
      <c r="E18" s="4" t="s">
        <v>56</v>
      </c>
      <c r="G18" s="1" t="s">
        <v>10</v>
      </c>
      <c r="H18" s="126">
        <v>8.5000000000000006E-2</v>
      </c>
      <c r="I18" s="1" t="s">
        <v>11</v>
      </c>
      <c r="L18" s="1" t="s">
        <v>10</v>
      </c>
      <c r="M18" s="136">
        <v>0</v>
      </c>
      <c r="N18" s="1" t="s">
        <v>11</v>
      </c>
    </row>
    <row r="19" spans="1:14" x14ac:dyDescent="0.45">
      <c r="A19" s="2"/>
      <c r="B19" s="2" t="s">
        <v>40</v>
      </c>
      <c r="C19" s="2"/>
      <c r="D19" s="106">
        <v>300</v>
      </c>
      <c r="E19" s="37" t="s">
        <v>188</v>
      </c>
      <c r="G19" s="1" t="s">
        <v>12</v>
      </c>
      <c r="H19" s="126">
        <v>7.0000000000000007E-2</v>
      </c>
      <c r="I19" s="1" t="s">
        <v>13</v>
      </c>
      <c r="L19" s="1" t="s">
        <v>12</v>
      </c>
      <c r="M19" s="136">
        <v>0</v>
      </c>
      <c r="N19" s="1" t="s">
        <v>13</v>
      </c>
    </row>
    <row r="20" spans="1:14" x14ac:dyDescent="0.45">
      <c r="A20" s="2"/>
      <c r="B20" s="30" t="s">
        <v>42</v>
      </c>
      <c r="D20" s="102">
        <f>8*6</f>
        <v>48</v>
      </c>
      <c r="E20" s="4" t="s">
        <v>38</v>
      </c>
      <c r="G20" s="1" t="s">
        <v>124</v>
      </c>
      <c r="H20" s="126">
        <v>0.05</v>
      </c>
      <c r="I20" s="1" t="s">
        <v>125</v>
      </c>
      <c r="L20" s="1" t="s">
        <v>124</v>
      </c>
      <c r="M20" s="136">
        <v>0</v>
      </c>
      <c r="N20" s="1" t="s">
        <v>125</v>
      </c>
    </row>
    <row r="21" spans="1:14" ht="15.75" x14ac:dyDescent="0.45">
      <c r="A21" s="2"/>
      <c r="B21" s="30" t="s">
        <v>44</v>
      </c>
      <c r="C21" s="2"/>
      <c r="D21" s="107">
        <v>10</v>
      </c>
      <c r="E21" s="4" t="s">
        <v>49</v>
      </c>
      <c r="H21" s="124"/>
      <c r="M21" s="133"/>
    </row>
    <row r="22" spans="1:14" x14ac:dyDescent="0.45">
      <c r="A22" s="2"/>
      <c r="B22" s="30" t="s">
        <v>51</v>
      </c>
      <c r="C22" s="2"/>
      <c r="D22" s="107">
        <v>2000</v>
      </c>
      <c r="E22" s="4" t="s">
        <v>52</v>
      </c>
      <c r="F22" s="2" t="s">
        <v>101</v>
      </c>
      <c r="H22" s="127"/>
      <c r="K22" s="2" t="s">
        <v>183</v>
      </c>
      <c r="M22" s="135"/>
    </row>
    <row r="23" spans="1:14" x14ac:dyDescent="0.45">
      <c r="A23" s="2"/>
      <c r="B23" s="30"/>
      <c r="C23" s="2"/>
      <c r="D23" s="108">
        <f>(((D21/8)*60*60)/1024)*D20</f>
        <v>210.9375</v>
      </c>
      <c r="E23" s="37" t="s">
        <v>56</v>
      </c>
      <c r="F23" s="2"/>
      <c r="H23" s="127"/>
      <c r="K23" s="2"/>
      <c r="M23" s="135"/>
    </row>
    <row r="24" spans="1:14" x14ac:dyDescent="0.45">
      <c r="A24" s="2"/>
      <c r="B24" s="148" t="s">
        <v>206</v>
      </c>
      <c r="C24" s="2"/>
      <c r="D24" s="149">
        <f>16+14+12</f>
        <v>42</v>
      </c>
      <c r="E24" s="4" t="s">
        <v>209</v>
      </c>
      <c r="F24" s="2"/>
      <c r="H24" s="127"/>
      <c r="K24" s="2"/>
      <c r="M24" s="135"/>
    </row>
    <row r="25" spans="1:14" x14ac:dyDescent="0.45">
      <c r="A25" s="2"/>
      <c r="B25" s="30" t="s">
        <v>42</v>
      </c>
      <c r="D25" s="102">
        <f>24*7</f>
        <v>168</v>
      </c>
      <c r="E25" s="4" t="s">
        <v>207</v>
      </c>
      <c r="F25" s="2"/>
      <c r="H25" s="127"/>
      <c r="K25" s="2"/>
      <c r="M25" s="135"/>
    </row>
    <row r="26" spans="1:14" x14ac:dyDescent="0.45">
      <c r="A26" s="2"/>
      <c r="B26" s="30" t="s">
        <v>44</v>
      </c>
      <c r="C26" s="2"/>
      <c r="D26" s="107">
        <v>10</v>
      </c>
      <c r="E26" s="4" t="s">
        <v>208</v>
      </c>
      <c r="F26" s="2"/>
      <c r="H26" s="127"/>
      <c r="K26" s="2"/>
      <c r="M26" s="135"/>
    </row>
    <row r="27" spans="1:14" x14ac:dyDescent="0.45">
      <c r="A27" s="2"/>
      <c r="B27" s="30" t="s">
        <v>51</v>
      </c>
      <c r="C27" s="2"/>
      <c r="D27" s="107">
        <v>2000</v>
      </c>
      <c r="E27" s="4" t="s">
        <v>52</v>
      </c>
      <c r="F27" s="2"/>
      <c r="H27" s="127"/>
      <c r="K27" s="2"/>
      <c r="M27" s="135"/>
    </row>
    <row r="28" spans="1:14" x14ac:dyDescent="0.45">
      <c r="A28" s="2"/>
      <c r="B28" s="30"/>
      <c r="C28" s="2"/>
      <c r="D28" s="108">
        <f>(((D26/8)*60*60)/1024)*D25</f>
        <v>738.28125</v>
      </c>
      <c r="E28" s="37" t="s">
        <v>56</v>
      </c>
      <c r="F28" s="2"/>
      <c r="H28" s="127"/>
      <c r="K28" s="2"/>
      <c r="M28" s="135"/>
    </row>
    <row r="29" spans="1:14" x14ac:dyDescent="0.45">
      <c r="A29" s="2"/>
      <c r="C29" s="2"/>
      <c r="D29" s="105"/>
      <c r="E29" s="1"/>
      <c r="F29" s="2" t="s">
        <v>102</v>
      </c>
      <c r="G29" s="1" t="s">
        <v>105</v>
      </c>
      <c r="H29" s="128">
        <v>2.36</v>
      </c>
      <c r="I29" s="1" t="s">
        <v>24</v>
      </c>
      <c r="K29" s="2" t="s">
        <v>102</v>
      </c>
      <c r="L29" s="8" t="s">
        <v>225</v>
      </c>
      <c r="M29" s="137">
        <v>0.73</v>
      </c>
      <c r="N29" s="1" t="s">
        <v>24</v>
      </c>
    </row>
    <row r="30" spans="1:14" ht="14.65" thickBot="1" x14ac:dyDescent="0.5">
      <c r="A30" s="2"/>
      <c r="C30" s="2"/>
      <c r="D30" s="109">
        <f>(D23*D19)+(D18*D14)+(D28*D24)</f>
        <v>103781.25</v>
      </c>
      <c r="E30" s="37" t="s">
        <v>57</v>
      </c>
      <c r="F30" s="2"/>
      <c r="G30" s="1" t="s">
        <v>104</v>
      </c>
      <c r="H30" s="129">
        <v>1</v>
      </c>
      <c r="K30" s="2"/>
      <c r="L30" s="8" t="s">
        <v>104</v>
      </c>
      <c r="M30" s="138">
        <v>4</v>
      </c>
      <c r="N30" s="1" t="s">
        <v>184</v>
      </c>
    </row>
    <row r="31" spans="1:14" ht="14.65" thickBot="1" x14ac:dyDescent="0.5">
      <c r="A31" s="2"/>
      <c r="C31" s="2"/>
      <c r="D31" s="119"/>
      <c r="F31" s="2"/>
      <c r="G31" s="1" t="s">
        <v>113</v>
      </c>
      <c r="H31" s="130">
        <f>H29/H30</f>
        <v>2.36</v>
      </c>
      <c r="K31" s="2"/>
      <c r="L31" s="8" t="s">
        <v>113</v>
      </c>
      <c r="M31" s="139">
        <f>M29/M30</f>
        <v>0.1825</v>
      </c>
    </row>
    <row r="32" spans="1:14" x14ac:dyDescent="0.45">
      <c r="A32" s="2" t="s">
        <v>75</v>
      </c>
      <c r="B32" s="8" t="s">
        <v>73</v>
      </c>
      <c r="C32" s="8"/>
      <c r="D32" s="106">
        <v>10</v>
      </c>
      <c r="E32" s="4" t="s">
        <v>229</v>
      </c>
      <c r="F32" s="2" t="s">
        <v>103</v>
      </c>
      <c r="G32" s="1" t="s">
        <v>215</v>
      </c>
      <c r="H32" s="128">
        <v>2.0592000000000001</v>
      </c>
      <c r="I32" s="1" t="s">
        <v>114</v>
      </c>
      <c r="K32" s="2" t="s">
        <v>103</v>
      </c>
      <c r="L32" s="8" t="s">
        <v>224</v>
      </c>
      <c r="M32" s="137">
        <v>1.77</v>
      </c>
      <c r="N32" s="1" t="s">
        <v>231</v>
      </c>
    </row>
    <row r="33" spans="1:14" ht="14.65" thickBot="1" x14ac:dyDescent="0.5">
      <c r="B33" s="8" t="s">
        <v>89</v>
      </c>
      <c r="C33" s="8"/>
      <c r="D33" s="106">
        <v>5</v>
      </c>
      <c r="E33" s="4" t="s">
        <v>229</v>
      </c>
      <c r="F33" s="2"/>
      <c r="G33" s="1" t="s">
        <v>104</v>
      </c>
      <c r="H33" s="129">
        <v>1</v>
      </c>
      <c r="K33" s="2"/>
      <c r="L33" s="8" t="s">
        <v>104</v>
      </c>
      <c r="M33" s="138">
        <v>2</v>
      </c>
      <c r="N33" s="1" t="s">
        <v>227</v>
      </c>
    </row>
    <row r="34" spans="1:14" ht="14.65" thickBot="1" x14ac:dyDescent="0.5">
      <c r="B34" s="9" t="s">
        <v>90</v>
      </c>
      <c r="C34" s="8"/>
      <c r="D34" s="109">
        <f>D32+D33</f>
        <v>15</v>
      </c>
      <c r="F34" s="2"/>
      <c r="G34" s="1" t="s">
        <v>113</v>
      </c>
      <c r="H34" s="130">
        <f>H32/H33</f>
        <v>2.0592000000000001</v>
      </c>
      <c r="K34" s="2"/>
      <c r="L34" s="8" t="s">
        <v>113</v>
      </c>
      <c r="M34" s="139">
        <f>M32/M33</f>
        <v>0.88500000000000001</v>
      </c>
    </row>
    <row r="35" spans="1:14" ht="16.8" customHeight="1" x14ac:dyDescent="0.45">
      <c r="A35" s="2"/>
      <c r="D35" s="110"/>
      <c r="E35" s="36"/>
      <c r="F35" s="2"/>
      <c r="H35" s="127"/>
      <c r="K35" s="2"/>
      <c r="L35" s="32"/>
      <c r="M35" s="135"/>
    </row>
    <row r="36" spans="1:14" ht="16.8" customHeight="1" x14ac:dyDescent="0.45">
      <c r="A36" s="2"/>
      <c r="B36" s="1" t="s">
        <v>194</v>
      </c>
      <c r="D36" s="106">
        <v>25</v>
      </c>
      <c r="E36" s="4" t="s">
        <v>195</v>
      </c>
      <c r="F36" s="2" t="s">
        <v>134</v>
      </c>
      <c r="G36" s="1" t="s">
        <v>216</v>
      </c>
      <c r="H36" s="128">
        <v>3.81</v>
      </c>
      <c r="I36" s="1" t="s">
        <v>217</v>
      </c>
      <c r="K36" s="2" t="s">
        <v>134</v>
      </c>
      <c r="L36" s="8" t="s">
        <v>222</v>
      </c>
      <c r="M36" s="137">
        <v>1.43</v>
      </c>
      <c r="N36" s="1" t="s">
        <v>143</v>
      </c>
    </row>
    <row r="37" spans="1:14" ht="16.8" customHeight="1" x14ac:dyDescent="0.45">
      <c r="A37" s="2"/>
      <c r="D37" s="104">
        <f>((D36/8)*60*60)/1024</f>
        <v>10.986328125</v>
      </c>
      <c r="E37" s="4" t="s">
        <v>85</v>
      </c>
      <c r="G37" s="1" t="s">
        <v>139</v>
      </c>
      <c r="H37" s="128">
        <v>3.0848</v>
      </c>
      <c r="I37" s="1" t="s">
        <v>218</v>
      </c>
      <c r="L37" s="8" t="s">
        <v>221</v>
      </c>
      <c r="M37" s="151">
        <v>0.97</v>
      </c>
      <c r="N37" s="1" t="s">
        <v>138</v>
      </c>
    </row>
    <row r="38" spans="1:14" ht="16.8" customHeight="1" x14ac:dyDescent="0.45">
      <c r="A38" s="2"/>
      <c r="D38" s="110"/>
      <c r="F38" s="2"/>
      <c r="G38" s="6" t="s">
        <v>105</v>
      </c>
      <c r="H38" s="131">
        <v>2.36</v>
      </c>
      <c r="I38" s="83" t="s">
        <v>167</v>
      </c>
      <c r="K38" s="2"/>
      <c r="L38" s="150" t="s">
        <v>220</v>
      </c>
      <c r="M38" s="140">
        <v>0.73</v>
      </c>
      <c r="N38" s="83" t="s">
        <v>167</v>
      </c>
    </row>
    <row r="39" spans="1:14" ht="16.8" customHeight="1" x14ac:dyDescent="0.45">
      <c r="A39" s="2"/>
      <c r="B39" s="1" t="s">
        <v>77</v>
      </c>
      <c r="D39" s="106">
        <v>2</v>
      </c>
      <c r="E39" s="4" t="s">
        <v>79</v>
      </c>
      <c r="F39" s="2"/>
      <c r="G39" s="1" t="s">
        <v>176</v>
      </c>
      <c r="H39" s="126">
        <v>5.6000000000000001E-2</v>
      </c>
      <c r="I39" s="1" t="s">
        <v>219</v>
      </c>
      <c r="K39" s="2"/>
      <c r="L39" s="8" t="s">
        <v>223</v>
      </c>
      <c r="M39" s="136">
        <v>0.06</v>
      </c>
      <c r="N39" s="1" t="s">
        <v>177</v>
      </c>
    </row>
    <row r="40" spans="1:14" ht="16.8" customHeight="1" x14ac:dyDescent="0.45">
      <c r="A40" s="2"/>
      <c r="D40" s="104">
        <f>((D39*60*60)/8)/1024</f>
        <v>0.87890625</v>
      </c>
      <c r="E40" s="4" t="s">
        <v>85</v>
      </c>
      <c r="F40" s="2"/>
      <c r="G40" s="8" t="s">
        <v>200</v>
      </c>
      <c r="H40" s="152">
        <v>0.252</v>
      </c>
      <c r="I40" s="8" t="s">
        <v>228</v>
      </c>
      <c r="K40" s="2"/>
      <c r="L40" s="8" t="s">
        <v>200</v>
      </c>
      <c r="M40" s="136">
        <v>0.252</v>
      </c>
      <c r="N40" s="8" t="s">
        <v>201</v>
      </c>
    </row>
    <row r="41" spans="1:14" ht="16.8" customHeight="1" x14ac:dyDescent="0.45">
      <c r="A41" s="2"/>
      <c r="B41" s="8" t="s">
        <v>81</v>
      </c>
      <c r="C41" s="8"/>
      <c r="D41" s="145">
        <f>1*D33</f>
        <v>5</v>
      </c>
      <c r="E41" s="4" t="s">
        <v>193</v>
      </c>
      <c r="F41" s="86" t="s">
        <v>171</v>
      </c>
      <c r="G41" s="1" t="s">
        <v>27</v>
      </c>
      <c r="H41" s="129">
        <v>1</v>
      </c>
      <c r="I41" s="1" t="s">
        <v>161</v>
      </c>
      <c r="K41" s="86" t="s">
        <v>171</v>
      </c>
      <c r="L41" s="1" t="s">
        <v>27</v>
      </c>
      <c r="M41" s="138">
        <v>1</v>
      </c>
      <c r="N41" s="1" t="s">
        <v>161</v>
      </c>
    </row>
    <row r="42" spans="1:14" ht="16.8" customHeight="1" x14ac:dyDescent="0.45">
      <c r="A42" s="2"/>
      <c r="B42" s="1" t="s">
        <v>82</v>
      </c>
      <c r="D42" s="102">
        <v>1000</v>
      </c>
      <c r="E42" s="4" t="s">
        <v>80</v>
      </c>
    </row>
    <row r="43" spans="1:14" ht="16.8" customHeight="1" x14ac:dyDescent="0.45">
      <c r="A43" s="2"/>
      <c r="B43" s="8" t="s">
        <v>87</v>
      </c>
      <c r="D43" s="106">
        <f>10*D32</f>
        <v>100</v>
      </c>
      <c r="E43" s="4" t="s">
        <v>88</v>
      </c>
      <c r="K43" s="2"/>
    </row>
    <row r="44" spans="1:14" ht="16.8" customHeight="1" x14ac:dyDescent="0.45">
      <c r="A44" s="2"/>
      <c r="B44" s="1" t="s">
        <v>91</v>
      </c>
      <c r="D44" s="102">
        <v>250</v>
      </c>
      <c r="E44" s="4" t="s">
        <v>80</v>
      </c>
      <c r="K44" s="2"/>
    </row>
    <row r="45" spans="1:14" ht="16.8" customHeight="1" x14ac:dyDescent="0.45">
      <c r="A45" s="2"/>
      <c r="B45" s="1" t="s">
        <v>86</v>
      </c>
      <c r="D45" s="111">
        <f>(D37+D40)*24*7*D34</f>
        <v>29900.390625</v>
      </c>
      <c r="E45" s="4" t="s">
        <v>84</v>
      </c>
      <c r="K45" s="2"/>
    </row>
    <row r="46" spans="1:14" ht="16.8" customHeight="1" x14ac:dyDescent="0.45">
      <c r="A46" s="2"/>
      <c r="B46" s="1" t="s">
        <v>83</v>
      </c>
      <c r="D46" s="112">
        <f>((D41*D42)+(D43*D44))/1024</f>
        <v>29.296875</v>
      </c>
      <c r="E46" s="4" t="s">
        <v>84</v>
      </c>
      <c r="K46" s="2"/>
    </row>
    <row r="47" spans="1:14" ht="16.8" customHeight="1" x14ac:dyDescent="0.45">
      <c r="A47" s="2"/>
      <c r="D47" s="111">
        <f>D45+D46</f>
        <v>29929.6875</v>
      </c>
      <c r="E47" s="4" t="s">
        <v>92</v>
      </c>
      <c r="G47" s="26"/>
      <c r="K47" s="2"/>
    </row>
    <row r="48" spans="1:14" ht="16.8" customHeight="1" x14ac:dyDescent="0.45">
      <c r="A48" s="2"/>
      <c r="D48" s="102"/>
    </row>
    <row r="49" spans="1:13" ht="34.15" customHeight="1" x14ac:dyDescent="0.45">
      <c r="A49" s="2" t="s">
        <v>78</v>
      </c>
      <c r="B49" s="6"/>
      <c r="C49" s="6"/>
      <c r="D49" s="107"/>
      <c r="F49" s="2"/>
      <c r="H49" s="84"/>
      <c r="K49" s="2"/>
    </row>
    <row r="50" spans="1:13" ht="16.8" customHeight="1" x14ac:dyDescent="0.45">
      <c r="A50" s="5"/>
      <c r="B50" s="1" t="s">
        <v>186</v>
      </c>
      <c r="D50" s="146">
        <f>(D34/5)*2</f>
        <v>6</v>
      </c>
      <c r="E50" s="36" t="s">
        <v>76</v>
      </c>
      <c r="K50" s="2"/>
    </row>
    <row r="51" spans="1:13" ht="16.8" customHeight="1" x14ac:dyDescent="0.45">
      <c r="A51" s="5"/>
      <c r="B51" s="6" t="s">
        <v>95</v>
      </c>
      <c r="C51" s="6"/>
      <c r="D51" s="113">
        <v>4</v>
      </c>
      <c r="E51" s="4" t="s">
        <v>166</v>
      </c>
      <c r="K51" s="2"/>
    </row>
    <row r="52" spans="1:13" ht="16.8" customHeight="1" x14ac:dyDescent="0.45">
      <c r="A52" s="5"/>
      <c r="B52" s="150" t="s">
        <v>190</v>
      </c>
      <c r="C52" s="150"/>
      <c r="D52" s="113">
        <v>2</v>
      </c>
      <c r="E52" s="143" t="s">
        <v>191</v>
      </c>
      <c r="K52" s="2"/>
    </row>
    <row r="53" spans="1:13" ht="16.8" customHeight="1" x14ac:dyDescent="0.45">
      <c r="A53" s="5"/>
      <c r="B53" s="6" t="s">
        <v>96</v>
      </c>
      <c r="C53" s="6"/>
      <c r="D53" s="114">
        <f>2*D34</f>
        <v>30</v>
      </c>
      <c r="E53" s="144" t="s">
        <v>192</v>
      </c>
      <c r="K53" s="2"/>
    </row>
    <row r="54" spans="1:13" ht="16.8" customHeight="1" x14ac:dyDescent="0.45">
      <c r="A54" s="5"/>
      <c r="B54" s="6" t="s">
        <v>97</v>
      </c>
      <c r="C54" s="6"/>
      <c r="D54" s="113">
        <v>2</v>
      </c>
      <c r="E54" s="4" t="s">
        <v>168</v>
      </c>
      <c r="K54" s="2"/>
    </row>
    <row r="55" spans="1:13" ht="16.8" customHeight="1" x14ac:dyDescent="0.45">
      <c r="A55" s="5"/>
      <c r="B55" s="6" t="s">
        <v>137</v>
      </c>
      <c r="C55" s="6"/>
      <c r="D55" s="113">
        <v>6</v>
      </c>
      <c r="E55" s="143" t="s">
        <v>189</v>
      </c>
      <c r="F55" s="2"/>
      <c r="K55" s="2"/>
    </row>
    <row r="56" spans="1:13" ht="16.8" customHeight="1" x14ac:dyDescent="0.45">
      <c r="A56" s="5"/>
      <c r="B56" s="1" t="s">
        <v>133</v>
      </c>
      <c r="D56" s="115">
        <v>6</v>
      </c>
      <c r="E56" s="161" t="s">
        <v>173</v>
      </c>
      <c r="F56" s="2"/>
      <c r="H56" s="31"/>
      <c r="K56" s="2"/>
    </row>
    <row r="57" spans="1:13" x14ac:dyDescent="0.45">
      <c r="A57" s="5"/>
      <c r="C57" s="1" t="s">
        <v>169</v>
      </c>
      <c r="D57" s="116">
        <f>SUM(D50:D56)</f>
        <v>56</v>
      </c>
      <c r="H57" s="31"/>
    </row>
    <row r="58" spans="1:13" x14ac:dyDescent="0.45">
      <c r="A58" s="2"/>
      <c r="D58" s="102"/>
      <c r="H58" s="31"/>
    </row>
    <row r="59" spans="1:13" x14ac:dyDescent="0.45">
      <c r="A59" s="2" t="s">
        <v>100</v>
      </c>
      <c r="D59" s="102"/>
      <c r="H59" s="84"/>
    </row>
    <row r="60" spans="1:13" x14ac:dyDescent="0.45">
      <c r="A60" s="2"/>
      <c r="B60" s="1" t="s">
        <v>99</v>
      </c>
      <c r="D60" s="117">
        <f>299/12</f>
        <v>24.916666666666668</v>
      </c>
      <c r="E60" s="4" t="s">
        <v>132</v>
      </c>
      <c r="H60" s="85"/>
    </row>
    <row r="61" spans="1:13" x14ac:dyDescent="0.45">
      <c r="A61" s="2"/>
      <c r="B61" s="1" t="s">
        <v>98</v>
      </c>
      <c r="D61" s="118">
        <f>15000/50</f>
        <v>300</v>
      </c>
      <c r="E61" s="4" t="s">
        <v>174</v>
      </c>
      <c r="H61" s="26"/>
      <c r="M61" s="31"/>
    </row>
    <row r="62" spans="1:13" x14ac:dyDescent="0.45">
      <c r="A62" s="2"/>
      <c r="D62" s="102"/>
      <c r="H62" s="26"/>
      <c r="M62" s="31"/>
    </row>
    <row r="63" spans="1:13" x14ac:dyDescent="0.45">
      <c r="A63" s="2" t="s">
        <v>54</v>
      </c>
      <c r="D63" s="102"/>
      <c r="F63" s="2"/>
      <c r="H63" s="26"/>
      <c r="K63" s="2"/>
      <c r="M63" s="84"/>
    </row>
    <row r="64" spans="1:13" x14ac:dyDescent="0.45">
      <c r="A64" s="2"/>
      <c r="B64" s="1" t="s">
        <v>172</v>
      </c>
      <c r="C64" s="18"/>
      <c r="D64" s="101">
        <v>1000</v>
      </c>
      <c r="E64" s="4" t="s">
        <v>55</v>
      </c>
      <c r="F64" s="2"/>
      <c r="H64" s="26"/>
      <c r="K64" s="2"/>
      <c r="M64" s="85"/>
    </row>
    <row r="65" spans="1:13" x14ac:dyDescent="0.45">
      <c r="H65" s="85"/>
      <c r="M65" s="26"/>
    </row>
    <row r="66" spans="1:13" x14ac:dyDescent="0.45">
      <c r="F66" s="2"/>
      <c r="H66" s="85"/>
      <c r="K66" s="2"/>
      <c r="M66" s="84"/>
    </row>
    <row r="67" spans="1:13" x14ac:dyDescent="0.45">
      <c r="A67" s="2"/>
      <c r="B67" s="2"/>
      <c r="C67" s="2"/>
      <c r="D67" s="120"/>
      <c r="H67" s="31"/>
      <c r="K67" s="2"/>
      <c r="M67" s="122"/>
    </row>
    <row r="68" spans="1:13" ht="19.8" customHeight="1" x14ac:dyDescent="0.45">
      <c r="K68" s="2"/>
      <c r="M68" s="31"/>
    </row>
    <row r="69" spans="1:13" ht="19.8" customHeight="1" x14ac:dyDescent="0.45">
      <c r="F69" s="2"/>
      <c r="H69" s="31"/>
      <c r="M69" s="31"/>
    </row>
    <row r="70" spans="1:13" ht="19.8" customHeight="1" x14ac:dyDescent="0.45">
      <c r="A70" s="2" t="s">
        <v>45</v>
      </c>
      <c r="F70" s="2"/>
      <c r="H70" s="31"/>
      <c r="M70" s="31"/>
    </row>
    <row r="71" spans="1:13" ht="19.8" customHeight="1" x14ac:dyDescent="0.45">
      <c r="A71" s="2">
        <v>1</v>
      </c>
      <c r="B71" s="1" t="s">
        <v>47</v>
      </c>
      <c r="H71" s="31"/>
      <c r="M71" s="31"/>
    </row>
    <row r="72" spans="1:13" x14ac:dyDescent="0.45">
      <c r="B72" s="38" t="s">
        <v>48</v>
      </c>
      <c r="F72" s="8"/>
      <c r="M72" s="85"/>
    </row>
    <row r="73" spans="1:13" x14ac:dyDescent="0.45">
      <c r="A73" s="2">
        <v>2</v>
      </c>
      <c r="B73" s="1" t="s">
        <v>74</v>
      </c>
      <c r="C73" s="2"/>
      <c r="D73" s="121"/>
      <c r="F73" s="7"/>
      <c r="M73" s="31"/>
    </row>
    <row r="74" spans="1:13" x14ac:dyDescent="0.45">
      <c r="A74" s="2">
        <v>3</v>
      </c>
      <c r="B74" s="1" t="s">
        <v>170</v>
      </c>
      <c r="M74" s="31"/>
    </row>
    <row r="75" spans="1:13" x14ac:dyDescent="0.45">
      <c r="M75" s="26"/>
    </row>
    <row r="76" spans="1:13" x14ac:dyDescent="0.45">
      <c r="M76" s="26"/>
    </row>
    <row r="77" spans="1:13" x14ac:dyDescent="0.45">
      <c r="M77" s="26"/>
    </row>
    <row r="78" spans="1:13" x14ac:dyDescent="0.45">
      <c r="M78" s="85"/>
    </row>
    <row r="79" spans="1:13" x14ac:dyDescent="0.45">
      <c r="M79" s="85"/>
    </row>
    <row r="80" spans="1:13" x14ac:dyDescent="0.45">
      <c r="M80" s="31"/>
    </row>
    <row r="81" spans="12:13" x14ac:dyDescent="0.45">
      <c r="L81" s="141"/>
      <c r="M81" s="142"/>
    </row>
    <row r="82" spans="12:13" x14ac:dyDescent="0.45">
      <c r="M82" s="31"/>
    </row>
  </sheetData>
  <conditionalFormatting sqref="F72">
    <cfRule type="cellIs" dxfId="1" priority="1" operator="greaterThan">
      <formula>16386</formula>
    </cfRule>
    <cfRule type="cellIs" dxfId="0" priority="2" operator="greaterThan">
      <formula>16386</formula>
    </cfRule>
    <cfRule type="colorScale" priority="3">
      <colorScale>
        <cfvo type="min"/>
        <cfvo type="percentile" val="50"/>
        <cfvo type="max"/>
        <color rgb="FFF8696B"/>
        <color rgb="FFFFEB84"/>
        <color rgb="FF63BE7B"/>
      </colorScale>
    </cfRule>
  </conditionalFormatting>
  <hyperlinks>
    <hyperlink ref="B72" r:id="rId1" display="https://anyware.hp.com/knowledge/pcoip-audio-quality-and-bandwidth?r=1157&amp;ui-knowledge-components-aura-actions.KnowledgeArticleVersionCreateDraftFromOnlineAction.createDraftFromOnlineArticle=1&amp;ui-knowledge-aloha-components-aura-components-knowledgeone.ArticleActions.handleEditPublished=1" xr:uid="{8BBCAD2F-B1E6-48D9-8334-D375B773B00E}"/>
  </hyperlinks>
  <pageMargins left="0.7" right="0.7" top="0.75" bottom="0.75" header="0.3" footer="0.3"/>
  <pageSetup orientation="portrait" r:id="rId2"/>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0D4BF-B332-40F1-A96E-13669C6376F6}">
  <sheetPr>
    <tabColor theme="7"/>
  </sheetPr>
  <dimension ref="A1:H56"/>
  <sheetViews>
    <sheetView topLeftCell="A31" workbookViewId="0">
      <pane xSplit="1" topLeftCell="B1" activePane="topRight" state="frozen"/>
      <selection activeCell="A10" sqref="A10"/>
      <selection pane="topRight" activeCell="C43" sqref="C43"/>
    </sheetView>
  </sheetViews>
  <sheetFormatPr defaultColWidth="9" defaultRowHeight="14.25" x14ac:dyDescent="0.45"/>
  <cols>
    <col min="1" max="1" width="32" style="1" customWidth="1"/>
    <col min="2" max="2" width="14.1328125" style="22" customWidth="1"/>
    <col min="3" max="3" width="13.19921875" style="22" customWidth="1"/>
    <col min="4" max="4" width="13.3984375" style="23" customWidth="1"/>
    <col min="5" max="6" width="9" style="1"/>
    <col min="7" max="7" width="9.86328125" style="1" bestFit="1" customWidth="1"/>
    <col min="8" max="16384" width="9" style="1"/>
  </cols>
  <sheetData>
    <row r="1" spans="1:4" ht="25.5" x14ac:dyDescent="0.75">
      <c r="A1" s="3" t="s">
        <v>14</v>
      </c>
    </row>
    <row r="2" spans="1:4" s="12" customFormat="1" ht="18" x14ac:dyDescent="0.55000000000000004">
      <c r="A2" s="11" t="s">
        <v>15</v>
      </c>
      <c r="B2" s="39" t="s">
        <v>68</v>
      </c>
      <c r="C2" s="39" t="s">
        <v>69</v>
      </c>
      <c r="D2" s="42" t="s">
        <v>70</v>
      </c>
    </row>
    <row r="3" spans="1:4" ht="18" x14ac:dyDescent="0.55000000000000004">
      <c r="A3" s="17" t="s">
        <v>0</v>
      </c>
    </row>
    <row r="4" spans="1:4" s="13" customFormat="1" x14ac:dyDescent="0.45">
      <c r="A4" s="1" t="s">
        <v>58</v>
      </c>
      <c r="B4" s="22">
        <f>C4/4</f>
        <v>17664</v>
      </c>
      <c r="C4" s="22">
        <f>Inputs!H$8*Inputs!D5</f>
        <v>70656</v>
      </c>
      <c r="D4" s="23">
        <f>C4*12</f>
        <v>847872</v>
      </c>
    </row>
    <row r="5" spans="1:4" x14ac:dyDescent="0.45">
      <c r="A5" s="1" t="s">
        <v>31</v>
      </c>
      <c r="B5" s="22">
        <f t="shared" ref="B5:B7" si="0">C5/4</f>
        <v>4710.3999999999996</v>
      </c>
      <c r="C5" s="22">
        <f>Inputs!H$8*Inputs!D6</f>
        <v>18841.599999999999</v>
      </c>
      <c r="D5" s="23">
        <f t="shared" ref="D5:D9" si="1">C5*12</f>
        <v>226099.19999999998</v>
      </c>
    </row>
    <row r="6" spans="1:4" s="14" customFormat="1" x14ac:dyDescent="0.45">
      <c r="A6" s="1" t="s">
        <v>32</v>
      </c>
      <c r="B6" s="22">
        <f t="shared" si="0"/>
        <v>11776</v>
      </c>
      <c r="C6" s="22">
        <f>Inputs!H$8*Inputs!D8</f>
        <v>47104</v>
      </c>
      <c r="D6" s="23">
        <f t="shared" si="1"/>
        <v>565248</v>
      </c>
    </row>
    <row r="7" spans="1:4" s="14" customFormat="1" x14ac:dyDescent="0.45">
      <c r="A7" s="8" t="s">
        <v>198</v>
      </c>
      <c r="B7" s="22">
        <f t="shared" si="0"/>
        <v>409.6</v>
      </c>
      <c r="C7" s="22">
        <f>Inputs!H11*Inputs!D9</f>
        <v>1638.4</v>
      </c>
      <c r="D7" s="23">
        <f t="shared" si="1"/>
        <v>19660.800000000003</v>
      </c>
    </row>
    <row r="8" spans="1:4" x14ac:dyDescent="0.45">
      <c r="A8" s="1" t="s">
        <v>60</v>
      </c>
      <c r="B8" s="22">
        <f t="shared" ref="B8" si="2">C8/4</f>
        <v>409.6</v>
      </c>
      <c r="C8" s="22">
        <f>Inputs!H11*Inputs!D10</f>
        <v>1638.4</v>
      </c>
      <c r="D8" s="23">
        <f t="shared" ref="D8" si="3">C8*12</f>
        <v>19660.800000000003</v>
      </c>
    </row>
    <row r="9" spans="1:4" s="2" customFormat="1" ht="15.75" x14ac:dyDescent="0.5">
      <c r="A9" s="16" t="s">
        <v>16</v>
      </c>
      <c r="B9" s="23">
        <f>SUM(B4:B8)</f>
        <v>34969.599999999999</v>
      </c>
      <c r="C9" s="23">
        <f>SUM(C4:C8)</f>
        <v>139878.39999999999</v>
      </c>
      <c r="D9" s="23">
        <f t="shared" si="1"/>
        <v>1678540.7999999998</v>
      </c>
    </row>
    <row r="10" spans="1:4" ht="15.75" x14ac:dyDescent="0.5">
      <c r="A10" s="16"/>
    </row>
    <row r="11" spans="1:4" ht="18" x14ac:dyDescent="0.55000000000000004">
      <c r="A11" s="17" t="s">
        <v>106</v>
      </c>
    </row>
    <row r="12" spans="1:4" x14ac:dyDescent="0.45">
      <c r="A12" s="8" t="s">
        <v>108</v>
      </c>
      <c r="B12" s="40">
        <f>Inputs!H34*Inputs!D15</f>
        <v>123.55200000000001</v>
      </c>
      <c r="C12" s="40">
        <f t="shared" ref="C12:C17" si="4">D12/12</f>
        <v>535.39200000000005</v>
      </c>
      <c r="D12" s="43">
        <f t="shared" ref="D12:D17" si="5">B12*52</f>
        <v>6424.7040000000006</v>
      </c>
    </row>
    <row r="13" spans="1:4" s="15" customFormat="1" x14ac:dyDescent="0.45">
      <c r="A13" s="27" t="s">
        <v>109</v>
      </c>
      <c r="B13" s="23">
        <f>B12*Inputs!D14</f>
        <v>1482.624</v>
      </c>
      <c r="C13" s="23">
        <f t="shared" si="4"/>
        <v>6424.7040000000006</v>
      </c>
      <c r="D13" s="23">
        <f t="shared" si="5"/>
        <v>77096.448000000004</v>
      </c>
    </row>
    <row r="14" spans="1:4" x14ac:dyDescent="0.45">
      <c r="A14" s="8" t="s">
        <v>111</v>
      </c>
      <c r="B14" s="22">
        <f>Inputs!H31*Inputs!D20</f>
        <v>113.28</v>
      </c>
      <c r="C14" s="40">
        <f t="shared" si="4"/>
        <v>490.88000000000005</v>
      </c>
      <c r="D14" s="43">
        <f t="shared" si="5"/>
        <v>5890.56</v>
      </c>
    </row>
    <row r="15" spans="1:4" s="28" customFormat="1" x14ac:dyDescent="0.45">
      <c r="A15" s="46" t="s">
        <v>110</v>
      </c>
      <c r="B15" s="23">
        <f>B14*Inputs!D19</f>
        <v>33984</v>
      </c>
      <c r="C15" s="23">
        <f t="shared" si="4"/>
        <v>147264</v>
      </c>
      <c r="D15" s="23">
        <f t="shared" si="5"/>
        <v>1767168</v>
      </c>
    </row>
    <row r="16" spans="1:4" s="28" customFormat="1" x14ac:dyDescent="0.45">
      <c r="A16" s="45" t="s">
        <v>202</v>
      </c>
      <c r="B16" s="22">
        <f>Inputs!H31*Inputs!D25</f>
        <v>396.47999999999996</v>
      </c>
      <c r="C16" s="40">
        <f t="shared" si="4"/>
        <v>1718.08</v>
      </c>
      <c r="D16" s="43">
        <f t="shared" si="5"/>
        <v>20616.96</v>
      </c>
    </row>
    <row r="17" spans="1:4" s="28" customFormat="1" x14ac:dyDescent="0.45">
      <c r="A17" s="46" t="s">
        <v>203</v>
      </c>
      <c r="B17" s="23">
        <f>B16*Inputs!D24</f>
        <v>16652.16</v>
      </c>
      <c r="C17" s="23">
        <f t="shared" si="4"/>
        <v>72159.360000000001</v>
      </c>
      <c r="D17" s="23">
        <f t="shared" si="5"/>
        <v>865912.31999999995</v>
      </c>
    </row>
    <row r="18" spans="1:4" s="28" customFormat="1" x14ac:dyDescent="0.45">
      <c r="A18" s="46" t="s">
        <v>210</v>
      </c>
      <c r="B18" s="23">
        <f>B13+B15+B17</f>
        <v>52118.784</v>
      </c>
      <c r="C18" s="23">
        <f>C13+C15+C17</f>
        <v>225848.06400000001</v>
      </c>
      <c r="D18" s="23">
        <f>D13+D15+D17</f>
        <v>2710176.7680000002</v>
      </c>
    </row>
    <row r="19" spans="1:4" s="28" customFormat="1" x14ac:dyDescent="0.45">
      <c r="A19" s="45" t="s">
        <v>115</v>
      </c>
      <c r="B19" s="48">
        <f>Inputs!D18</f>
        <v>791.015625</v>
      </c>
      <c r="C19" s="49">
        <f>D19/12</f>
        <v>3427.734375</v>
      </c>
      <c r="D19" s="50">
        <f>B19*52</f>
        <v>41132.8125</v>
      </c>
    </row>
    <row r="20" spans="1:4" s="28" customFormat="1" x14ac:dyDescent="0.45">
      <c r="A20" s="28" t="s">
        <v>211</v>
      </c>
      <c r="B20" s="28">
        <f>Inputs!D23</f>
        <v>210.9375</v>
      </c>
      <c r="C20" s="49">
        <f>D20/12</f>
        <v>914.0625</v>
      </c>
      <c r="D20" s="50">
        <f>B20*52</f>
        <v>10968.75</v>
      </c>
    </row>
    <row r="21" spans="1:4" s="28" customFormat="1" x14ac:dyDescent="0.45">
      <c r="A21" s="28" t="s">
        <v>212</v>
      </c>
      <c r="B21" s="28">
        <f>Inputs!D28</f>
        <v>738.28125</v>
      </c>
      <c r="C21" s="49">
        <f>D21/12</f>
        <v>3199.21875</v>
      </c>
      <c r="D21" s="50">
        <f>B21*52</f>
        <v>38390.625</v>
      </c>
    </row>
    <row r="22" spans="1:4" s="28" customFormat="1" x14ac:dyDescent="0.45">
      <c r="A22" s="47" t="s">
        <v>117</v>
      </c>
      <c r="B22" s="47">
        <f>B20+B19+B21</f>
        <v>1740.234375</v>
      </c>
      <c r="C22" s="50">
        <f>D22/12</f>
        <v>7541.015625</v>
      </c>
      <c r="D22" s="50">
        <f>B22*52</f>
        <v>90492.1875</v>
      </c>
    </row>
    <row r="23" spans="1:4" s="24" customFormat="1" ht="15.75" x14ac:dyDescent="0.5">
      <c r="B23" s="25"/>
      <c r="C23" s="25"/>
      <c r="D23" s="25"/>
    </row>
    <row r="24" spans="1:4" s="24" customFormat="1" ht="15.75" x14ac:dyDescent="0.5">
      <c r="A24" s="24" t="s">
        <v>107</v>
      </c>
      <c r="B24" s="25"/>
      <c r="C24" s="25"/>
      <c r="D24" s="25"/>
    </row>
    <row r="25" spans="1:4" s="24" customFormat="1" ht="15.75" x14ac:dyDescent="0.5">
      <c r="A25" s="1" t="s">
        <v>72</v>
      </c>
      <c r="B25" s="54">
        <f>Inputs!H38*Inputs!D50*24*7</f>
        <v>2378.88</v>
      </c>
      <c r="C25" s="54">
        <f t="shared" ref="C25:C28" si="6">B25*4</f>
        <v>9515.52</v>
      </c>
      <c r="D25" s="25">
        <f t="shared" ref="D25:D28" si="7">B25*52</f>
        <v>123701.76000000001</v>
      </c>
    </row>
    <row r="26" spans="1:4" s="24" customFormat="1" ht="15.75" x14ac:dyDescent="0.5">
      <c r="A26" s="6" t="s">
        <v>95</v>
      </c>
      <c r="B26" s="54">
        <f>Inputs!H38*Inputs!D51*24*7</f>
        <v>1585.92</v>
      </c>
      <c r="C26" s="54">
        <f t="shared" si="6"/>
        <v>6343.68</v>
      </c>
      <c r="D26" s="25">
        <f t="shared" si="7"/>
        <v>82467.839999999997</v>
      </c>
    </row>
    <row r="27" spans="1:4" s="24" customFormat="1" ht="15.75" x14ac:dyDescent="0.5">
      <c r="A27" s="6" t="s">
        <v>96</v>
      </c>
      <c r="B27" s="54">
        <f>Inputs!H38*Inputs!D53*24*7</f>
        <v>11894.399999999998</v>
      </c>
      <c r="C27" s="54">
        <f t="shared" si="6"/>
        <v>47577.599999999991</v>
      </c>
      <c r="D27" s="25">
        <f t="shared" si="7"/>
        <v>618508.79999999993</v>
      </c>
    </row>
    <row r="28" spans="1:4" s="24" customFormat="1" ht="15.75" x14ac:dyDescent="0.5">
      <c r="A28" s="6" t="s">
        <v>97</v>
      </c>
      <c r="B28" s="54">
        <f>Inputs!H39*Inputs!D54*24*7</f>
        <v>18.816000000000003</v>
      </c>
      <c r="C28" s="54">
        <f t="shared" si="6"/>
        <v>75.26400000000001</v>
      </c>
      <c r="D28" s="25">
        <f t="shared" si="7"/>
        <v>978.43200000000013</v>
      </c>
    </row>
    <row r="29" spans="1:4" s="24" customFormat="1" ht="15.75" x14ac:dyDescent="0.5">
      <c r="A29" s="55" t="s">
        <v>137</v>
      </c>
      <c r="B29" s="54">
        <f>Inputs!H37*Inputs!D55*24*7</f>
        <v>3109.4784</v>
      </c>
      <c r="C29" s="54">
        <f>B29*4</f>
        <v>12437.9136</v>
      </c>
      <c r="D29" s="25">
        <f>B29*52</f>
        <v>161692.8768</v>
      </c>
    </row>
    <row r="30" spans="1:4" s="24" customFormat="1" ht="15.75" x14ac:dyDescent="0.5">
      <c r="A30" s="55" t="s">
        <v>145</v>
      </c>
      <c r="B30" s="54">
        <f>Inputs!H36*24*7*Inputs!D56</f>
        <v>3840.4799999999996</v>
      </c>
      <c r="C30" s="54">
        <f>B30*4</f>
        <v>15361.919999999998</v>
      </c>
      <c r="D30" s="25">
        <f>B30*52</f>
        <v>199704.95999999996</v>
      </c>
    </row>
    <row r="31" spans="1:4" s="24" customFormat="1" ht="15.75" x14ac:dyDescent="0.5">
      <c r="A31" s="24" t="s">
        <v>135</v>
      </c>
      <c r="B31" s="25">
        <f>SUM(B25:B30)</f>
        <v>22827.974399999996</v>
      </c>
      <c r="C31" s="25">
        <f t="shared" ref="C31:D31" si="8">SUM(C25:C30)</f>
        <v>91311.897599999982</v>
      </c>
      <c r="D31" s="25">
        <f t="shared" si="8"/>
        <v>1187054.6687999999</v>
      </c>
    </row>
    <row r="33" spans="1:8" s="19" customFormat="1" ht="18" x14ac:dyDescent="0.55000000000000004">
      <c r="A33" s="10" t="s">
        <v>140</v>
      </c>
      <c r="B33" s="41"/>
      <c r="C33" s="41"/>
      <c r="D33" s="44"/>
    </row>
    <row r="34" spans="1:8" x14ac:dyDescent="0.45">
      <c r="A34" s="1" t="s">
        <v>26</v>
      </c>
      <c r="B34" s="22">
        <f>C34/4</f>
        <v>1943.5</v>
      </c>
      <c r="C34" s="22">
        <f>Inputs!D60*(Inputs!D19+Inputs!D14)</f>
        <v>7774</v>
      </c>
      <c r="D34" s="23">
        <f>C34*12</f>
        <v>93288</v>
      </c>
    </row>
    <row r="35" spans="1:8" x14ac:dyDescent="0.45">
      <c r="A35" s="1" t="s">
        <v>141</v>
      </c>
      <c r="B35" s="22">
        <f>C35/4</f>
        <v>36500</v>
      </c>
      <c r="C35" s="22">
        <f>D35/12</f>
        <v>146000</v>
      </c>
      <c r="D35" s="23">
        <f>Inputs!D61*Inputs!D11</f>
        <v>1752000</v>
      </c>
    </row>
    <row r="36" spans="1:8" x14ac:dyDescent="0.45">
      <c r="A36" s="2" t="s">
        <v>175</v>
      </c>
      <c r="B36" s="23">
        <f>SUM(B34:B35)</f>
        <v>38443.5</v>
      </c>
      <c r="C36" s="23">
        <f t="shared" ref="C36:D36" si="9">SUM(C34:C35)</f>
        <v>153774</v>
      </c>
      <c r="D36" s="23">
        <f t="shared" si="9"/>
        <v>1845288</v>
      </c>
    </row>
    <row r="38" spans="1:8" ht="18" x14ac:dyDescent="0.55000000000000004">
      <c r="A38" s="10" t="s">
        <v>120</v>
      </c>
    </row>
    <row r="39" spans="1:8" x14ac:dyDescent="0.45">
      <c r="A39" s="1" t="s">
        <v>130</v>
      </c>
      <c r="B39" s="56"/>
      <c r="C39" s="28">
        <f>Inputs!D47*4</f>
        <v>119718.75</v>
      </c>
      <c r="D39" s="57"/>
      <c r="E39" s="28"/>
    </row>
    <row r="40" spans="1:8" x14ac:dyDescent="0.45">
      <c r="A40" s="1" t="s">
        <v>127</v>
      </c>
      <c r="B40" s="56"/>
      <c r="C40" s="28">
        <f>C22</f>
        <v>7541.015625</v>
      </c>
      <c r="D40" s="57"/>
      <c r="E40" s="28"/>
    </row>
    <row r="41" spans="1:8" x14ac:dyDescent="0.45">
      <c r="A41" s="2" t="s">
        <v>136</v>
      </c>
      <c r="B41" s="57"/>
      <c r="C41" s="47">
        <f>C40+C39</f>
        <v>127259.765625</v>
      </c>
      <c r="D41" s="57"/>
      <c r="E41" s="28"/>
    </row>
    <row r="42" spans="1:8" x14ac:dyDescent="0.45">
      <c r="A42" s="1" t="s">
        <v>128</v>
      </c>
      <c r="B42" s="56"/>
      <c r="C42" s="52">
        <f>(C41/1000)</f>
        <v>127.259765625</v>
      </c>
      <c r="D42" s="57"/>
      <c r="E42" s="28"/>
    </row>
    <row r="44" spans="1:8" x14ac:dyDescent="0.45">
      <c r="A44" s="28" t="s">
        <v>119</v>
      </c>
      <c r="B44" s="47"/>
      <c r="C44" s="50"/>
      <c r="D44" s="50"/>
      <c r="E44" s="28"/>
      <c r="F44" s="28" t="s">
        <v>118</v>
      </c>
      <c r="G44" s="28"/>
    </row>
    <row r="45" spans="1:8" x14ac:dyDescent="0.45">
      <c r="A45" s="14" t="s">
        <v>17</v>
      </c>
      <c r="B45" s="22">
        <f>D45/52</f>
        <v>0</v>
      </c>
      <c r="C45" s="22">
        <f>MAX(0, MIN($C$42, G45) - F45)*Inputs!H16</f>
        <v>0</v>
      </c>
      <c r="D45" s="23">
        <f>C45*12</f>
        <v>0</v>
      </c>
      <c r="E45" s="14" t="s">
        <v>116</v>
      </c>
      <c r="F45" s="28">
        <v>0</v>
      </c>
      <c r="G45" s="53">
        <v>1E-3</v>
      </c>
      <c r="H45" s="7"/>
    </row>
    <row r="46" spans="1:8" x14ac:dyDescent="0.45">
      <c r="A46" s="22" t="s">
        <v>18</v>
      </c>
      <c r="B46" s="22">
        <f t="shared" ref="B46:B50" si="10">D46/52</f>
        <v>207.69230769230765</v>
      </c>
      <c r="C46" s="22">
        <f>MAX(0, MIN($C$42, G46) - F46)*Inputs!H17*1000</f>
        <v>899.99999999999989</v>
      </c>
      <c r="D46" s="23">
        <f t="shared" ref="D46:D50" si="11">C46*12</f>
        <v>10799.999999999998</v>
      </c>
      <c r="E46" s="22"/>
      <c r="F46" s="28">
        <f>G45</f>
        <v>1E-3</v>
      </c>
      <c r="G46" s="28">
        <f>F46+10</f>
        <v>10.000999999999999</v>
      </c>
      <c r="H46" s="7"/>
    </row>
    <row r="47" spans="1:8" x14ac:dyDescent="0.45">
      <c r="A47" s="22" t="s">
        <v>19</v>
      </c>
      <c r="B47" s="22">
        <f t="shared" si="10"/>
        <v>784.61538461538476</v>
      </c>
      <c r="C47" s="22">
        <f>MAX(0, MIN($C$42, G47) - F47)*Inputs!H18*1000</f>
        <v>3400.0000000000005</v>
      </c>
      <c r="D47" s="23">
        <f t="shared" si="11"/>
        <v>40800.000000000007</v>
      </c>
      <c r="E47" s="22"/>
      <c r="F47" s="28">
        <f>G46</f>
        <v>10.000999999999999</v>
      </c>
      <c r="G47" s="28">
        <f>G46+40</f>
        <v>50.000999999999998</v>
      </c>
      <c r="H47" s="7"/>
    </row>
    <row r="48" spans="1:8" x14ac:dyDescent="0.45">
      <c r="A48" s="51" t="s">
        <v>123</v>
      </c>
      <c r="B48" s="22">
        <f t="shared" si="10"/>
        <v>1248.0262139423078</v>
      </c>
      <c r="C48" s="22">
        <f>MAX(0, MIN($C$42, G48) - F48)*Inputs!H19*1000</f>
        <v>5408.1135937500003</v>
      </c>
      <c r="D48" s="23">
        <f t="shared" si="11"/>
        <v>64897.363125000003</v>
      </c>
      <c r="E48" s="22"/>
      <c r="F48" s="28">
        <f>G47</f>
        <v>50.000999999999998</v>
      </c>
      <c r="G48" s="28">
        <f>G47+100</f>
        <v>150.001</v>
      </c>
      <c r="H48" s="7"/>
    </row>
    <row r="49" spans="1:8" x14ac:dyDescent="0.45">
      <c r="A49" s="51" t="s">
        <v>122</v>
      </c>
      <c r="B49" s="22">
        <f t="shared" si="10"/>
        <v>0</v>
      </c>
      <c r="C49" s="22">
        <f>MAX(0, MIN($C$42, G49) - F49)*Inputs!H20*1000</f>
        <v>0</v>
      </c>
      <c r="D49" s="23">
        <f t="shared" si="11"/>
        <v>0</v>
      </c>
      <c r="E49" s="22"/>
      <c r="F49" s="28">
        <f>G48</f>
        <v>150.001</v>
      </c>
      <c r="G49" s="28" t="s">
        <v>121</v>
      </c>
      <c r="H49" s="7"/>
    </row>
    <row r="50" spans="1:8" s="2" customFormat="1" ht="15.75" x14ac:dyDescent="0.5">
      <c r="A50" s="24" t="s">
        <v>129</v>
      </c>
      <c r="B50" s="23">
        <f t="shared" si="10"/>
        <v>2240.3339062499999</v>
      </c>
      <c r="C50" s="23">
        <f>SUM(C45:C49)</f>
        <v>9708.1135937500003</v>
      </c>
      <c r="D50" s="23">
        <f t="shared" si="11"/>
        <v>116497.363125</v>
      </c>
      <c r="E50" s="24"/>
      <c r="F50" s="24"/>
      <c r="G50" s="24"/>
    </row>
    <row r="53" spans="1:8" s="64" customFormat="1" ht="19.899999999999999" x14ac:dyDescent="1.1000000000000001">
      <c r="A53" s="64" t="s">
        <v>131</v>
      </c>
      <c r="B53" s="75">
        <f>B50+B9+B18+B31+B36</f>
        <v>150600.19230624998</v>
      </c>
      <c r="C53" s="75">
        <f>C50+C9+C18+C31+C36</f>
        <v>620520.47519374988</v>
      </c>
      <c r="D53" s="75">
        <f>D50+D9+D18+D31+D36</f>
        <v>7537557.5999250002</v>
      </c>
    </row>
    <row r="54" spans="1:8" s="76" customFormat="1" ht="19.899999999999999" x14ac:dyDescent="1.1000000000000001">
      <c r="B54" s="77"/>
      <c r="C54" s="77"/>
      <c r="D54" s="78"/>
    </row>
    <row r="55" spans="1:8" s="79" customFormat="1" ht="19.899999999999999" x14ac:dyDescent="1.1000000000000001">
      <c r="A55" s="79" t="s">
        <v>142</v>
      </c>
      <c r="B55" s="80">
        <f>B53*Inputs!$H$41</f>
        <v>150600.19230624998</v>
      </c>
      <c r="C55" s="80">
        <f>C53*Inputs!$H$41</f>
        <v>620520.47519374988</v>
      </c>
      <c r="D55" s="80">
        <f>D53*Inputs!$H$41</f>
        <v>7537557.5999250002</v>
      </c>
    </row>
    <row r="56" spans="1:8" x14ac:dyDescent="0.45">
      <c r="A56" s="1" t="s">
        <v>162</v>
      </c>
      <c r="B56" s="81">
        <f>1-Inputs!H41</f>
        <v>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23EC7-4FC2-4930-B962-83A44703DF21}">
  <sheetPr>
    <tabColor theme="4" tint="-0.499984740745262"/>
  </sheetPr>
  <dimension ref="A1:H59"/>
  <sheetViews>
    <sheetView topLeftCell="A10" workbookViewId="0">
      <pane xSplit="1" topLeftCell="B1" activePane="topRight" state="frozen"/>
      <selection activeCell="A10" sqref="A10"/>
      <selection pane="topRight" activeCell="B16" sqref="B16"/>
    </sheetView>
  </sheetViews>
  <sheetFormatPr defaultColWidth="9" defaultRowHeight="14.25" x14ac:dyDescent="0.45"/>
  <cols>
    <col min="1" max="1" width="32" style="1" customWidth="1"/>
    <col min="2" max="2" width="14.1328125" style="22" customWidth="1"/>
    <col min="3" max="3" width="13.19921875" style="22" customWidth="1"/>
    <col min="4" max="4" width="13.3984375" style="23" customWidth="1"/>
    <col min="5" max="6" width="9" style="1"/>
    <col min="7" max="7" width="9.86328125" style="1" bestFit="1" customWidth="1"/>
    <col min="8" max="16384" width="9" style="1"/>
  </cols>
  <sheetData>
    <row r="1" spans="1:4" ht="25.5" x14ac:dyDescent="0.75">
      <c r="A1" s="3" t="s">
        <v>14</v>
      </c>
    </row>
    <row r="2" spans="1:4" s="90" customFormat="1" ht="18" x14ac:dyDescent="0.55000000000000004">
      <c r="A2" s="87" t="s">
        <v>33</v>
      </c>
      <c r="B2" s="88" t="s">
        <v>68</v>
      </c>
      <c r="C2" s="88" t="s">
        <v>69</v>
      </c>
      <c r="D2" s="89" t="s">
        <v>70</v>
      </c>
    </row>
    <row r="3" spans="1:4" ht="18" x14ac:dyDescent="0.55000000000000004">
      <c r="A3" s="17" t="s">
        <v>0</v>
      </c>
    </row>
    <row r="4" spans="1:4" s="13" customFormat="1" x14ac:dyDescent="0.45">
      <c r="A4" s="1" t="s">
        <v>58</v>
      </c>
      <c r="B4" s="22">
        <f>C4/4</f>
        <v>23040</v>
      </c>
      <c r="C4" s="22">
        <f>Inputs!M$8*Inputs!D5</f>
        <v>92160</v>
      </c>
      <c r="D4" s="23">
        <f>C4*12</f>
        <v>1105920</v>
      </c>
    </row>
    <row r="5" spans="1:4" x14ac:dyDescent="0.45">
      <c r="A5" s="1" t="s">
        <v>31</v>
      </c>
      <c r="B5" s="22">
        <f t="shared" ref="B5:B8" si="0">C5/4</f>
        <v>6144</v>
      </c>
      <c r="C5" s="22">
        <f>Inputs!M$8*Inputs!D6</f>
        <v>24576</v>
      </c>
      <c r="D5" s="23">
        <f t="shared" ref="D5:D9" si="1">C5*12</f>
        <v>294912</v>
      </c>
    </row>
    <row r="6" spans="1:4" s="14" customFormat="1" x14ac:dyDescent="0.45">
      <c r="A6" s="1" t="s">
        <v>32</v>
      </c>
      <c r="B6" s="22">
        <f t="shared" si="0"/>
        <v>15360</v>
      </c>
      <c r="C6" s="22">
        <f>Inputs!M$8*Inputs!D8</f>
        <v>61440</v>
      </c>
      <c r="D6" s="23">
        <f t="shared" si="1"/>
        <v>737280</v>
      </c>
    </row>
    <row r="7" spans="1:4" s="14" customFormat="1" x14ac:dyDescent="0.45">
      <c r="A7" s="8" t="s">
        <v>198</v>
      </c>
      <c r="B7" s="22">
        <f t="shared" si="0"/>
        <v>358.40000000000003</v>
      </c>
      <c r="C7" s="22">
        <f>Inputs!M11*Inputs!D9</f>
        <v>1433.6000000000001</v>
      </c>
      <c r="D7" s="23">
        <f t="shared" si="1"/>
        <v>17203.2</v>
      </c>
    </row>
    <row r="8" spans="1:4" x14ac:dyDescent="0.45">
      <c r="A8" s="1" t="s">
        <v>60</v>
      </c>
      <c r="B8" s="22">
        <f t="shared" si="0"/>
        <v>358.40000000000003</v>
      </c>
      <c r="C8" s="22">
        <f>Inputs!M11*Inputs!D10</f>
        <v>1433.6000000000001</v>
      </c>
      <c r="D8" s="23">
        <f t="shared" si="1"/>
        <v>17203.2</v>
      </c>
    </row>
    <row r="9" spans="1:4" s="2" customFormat="1" ht="15.75" x14ac:dyDescent="0.5">
      <c r="A9" s="16" t="s">
        <v>16</v>
      </c>
      <c r="B9" s="23">
        <f>SUM(B4:B8)</f>
        <v>45260.800000000003</v>
      </c>
      <c r="C9" s="23">
        <f>SUM(C4:C8)</f>
        <v>181043.20000000001</v>
      </c>
      <c r="D9" s="23">
        <f t="shared" si="1"/>
        <v>2172518.4000000004</v>
      </c>
    </row>
    <row r="10" spans="1:4" ht="15.75" x14ac:dyDescent="0.5">
      <c r="A10" s="16"/>
    </row>
    <row r="11" spans="1:4" ht="18" x14ac:dyDescent="0.55000000000000004">
      <c r="A11" s="17" t="s">
        <v>106</v>
      </c>
    </row>
    <row r="12" spans="1:4" x14ac:dyDescent="0.45">
      <c r="A12" s="8" t="s">
        <v>108</v>
      </c>
      <c r="B12" s="40">
        <f>Inputs!M34*Inputs!D15</f>
        <v>53.1</v>
      </c>
      <c r="C12" s="40">
        <f t="shared" ref="C12:C17" si="2">D12/12</f>
        <v>230.10000000000002</v>
      </c>
      <c r="D12" s="43">
        <f t="shared" ref="D12:D17" si="3">B12*52</f>
        <v>2761.2000000000003</v>
      </c>
    </row>
    <row r="13" spans="1:4" s="15" customFormat="1" x14ac:dyDescent="0.45">
      <c r="A13" s="27" t="s">
        <v>109</v>
      </c>
      <c r="B13" s="23">
        <f>B12*Inputs!D14</f>
        <v>637.20000000000005</v>
      </c>
      <c r="C13" s="23">
        <f t="shared" si="2"/>
        <v>2761.2000000000003</v>
      </c>
      <c r="D13" s="23">
        <f t="shared" si="3"/>
        <v>33134.400000000001</v>
      </c>
    </row>
    <row r="14" spans="1:4" x14ac:dyDescent="0.45">
      <c r="A14" s="8" t="s">
        <v>111</v>
      </c>
      <c r="B14" s="22">
        <f>Inputs!M31*Inputs!D20</f>
        <v>8.76</v>
      </c>
      <c r="C14" s="40">
        <f t="shared" si="2"/>
        <v>37.96</v>
      </c>
      <c r="D14" s="43">
        <f t="shared" si="3"/>
        <v>455.52</v>
      </c>
    </row>
    <row r="15" spans="1:4" s="28" customFormat="1" x14ac:dyDescent="0.45">
      <c r="A15" s="46" t="s">
        <v>110</v>
      </c>
      <c r="B15" s="23">
        <f>B14*Inputs!D19</f>
        <v>2628</v>
      </c>
      <c r="C15" s="23">
        <f t="shared" si="2"/>
        <v>11388</v>
      </c>
      <c r="D15" s="23">
        <f t="shared" si="3"/>
        <v>136656</v>
      </c>
    </row>
    <row r="16" spans="1:4" s="28" customFormat="1" x14ac:dyDescent="0.45">
      <c r="A16" s="45" t="s">
        <v>202</v>
      </c>
      <c r="B16" s="22">
        <f>Inputs!M31*Inputs!D25</f>
        <v>30.66</v>
      </c>
      <c r="C16" s="40">
        <f t="shared" si="2"/>
        <v>132.85999999999999</v>
      </c>
      <c r="D16" s="43">
        <f t="shared" si="3"/>
        <v>1594.32</v>
      </c>
    </row>
    <row r="17" spans="1:4" s="28" customFormat="1" x14ac:dyDescent="0.45">
      <c r="A17" s="46" t="s">
        <v>203</v>
      </c>
      <c r="B17" s="23">
        <f>B16*Inputs!D24</f>
        <v>1287.72</v>
      </c>
      <c r="C17" s="23">
        <f t="shared" si="2"/>
        <v>5580.12</v>
      </c>
      <c r="D17" s="23">
        <f t="shared" si="3"/>
        <v>66961.440000000002</v>
      </c>
    </row>
    <row r="18" spans="1:4" s="28" customFormat="1" x14ac:dyDescent="0.45">
      <c r="A18" s="46" t="s">
        <v>112</v>
      </c>
      <c r="B18" s="23">
        <f>B13+B15+B17</f>
        <v>4552.92</v>
      </c>
      <c r="C18" s="23">
        <f t="shared" ref="C18:D18" si="4">C13+C15+C17</f>
        <v>19729.32</v>
      </c>
      <c r="D18" s="23">
        <f t="shared" si="4"/>
        <v>236751.84</v>
      </c>
    </row>
    <row r="19" spans="1:4" s="28" customFormat="1" x14ac:dyDescent="0.45">
      <c r="A19" s="45" t="s">
        <v>115</v>
      </c>
      <c r="B19" s="48">
        <f>Inputs!D18</f>
        <v>791.015625</v>
      </c>
      <c r="C19" s="49">
        <f>D19/12</f>
        <v>3427.734375</v>
      </c>
      <c r="D19" s="50">
        <f>B19*52</f>
        <v>41132.8125</v>
      </c>
    </row>
    <row r="20" spans="1:4" s="28" customFormat="1" x14ac:dyDescent="0.45">
      <c r="A20" s="28" t="s">
        <v>214</v>
      </c>
      <c r="B20" s="28">
        <f>Inputs!D23</f>
        <v>210.9375</v>
      </c>
      <c r="C20" s="49">
        <f>D20/12</f>
        <v>914.0625</v>
      </c>
      <c r="D20" s="50">
        <f>B20*52</f>
        <v>10968.75</v>
      </c>
    </row>
    <row r="21" spans="1:4" s="28" customFormat="1" x14ac:dyDescent="0.45">
      <c r="A21" s="28" t="s">
        <v>213</v>
      </c>
      <c r="B21" s="28">
        <f>Inputs!D26</f>
        <v>10</v>
      </c>
      <c r="C21" s="49">
        <f>D21/12</f>
        <v>43.333333333333336</v>
      </c>
      <c r="D21" s="50">
        <f>B21*52</f>
        <v>520</v>
      </c>
    </row>
    <row r="22" spans="1:4" s="47" customFormat="1" x14ac:dyDescent="0.45">
      <c r="A22" s="47" t="s">
        <v>117</v>
      </c>
      <c r="B22" s="47">
        <f>B20+B19+B21</f>
        <v>1011.953125</v>
      </c>
      <c r="C22" s="50">
        <f>D22/12</f>
        <v>4385.130208333333</v>
      </c>
      <c r="D22" s="50">
        <f>B22*52</f>
        <v>52621.5625</v>
      </c>
    </row>
    <row r="23" spans="1:4" s="28" customFormat="1" x14ac:dyDescent="0.45">
      <c r="B23" s="47"/>
      <c r="C23" s="50"/>
      <c r="D23" s="50"/>
    </row>
    <row r="24" spans="1:4" s="28" customFormat="1" x14ac:dyDescent="0.45">
      <c r="B24" s="47"/>
      <c r="C24" s="50"/>
      <c r="D24" s="50"/>
    </row>
    <row r="25" spans="1:4" s="28" customFormat="1" x14ac:dyDescent="0.45">
      <c r="B25" s="47"/>
      <c r="C25" s="50"/>
      <c r="D25" s="50"/>
    </row>
    <row r="26" spans="1:4" s="24" customFormat="1" ht="15.75" x14ac:dyDescent="0.5">
      <c r="B26" s="25"/>
      <c r="C26" s="25"/>
      <c r="D26" s="25"/>
    </row>
    <row r="27" spans="1:4" s="24" customFormat="1" ht="15.75" x14ac:dyDescent="0.5">
      <c r="A27" s="24" t="s">
        <v>107</v>
      </c>
      <c r="B27" s="25"/>
      <c r="C27" s="25"/>
      <c r="D27" s="25"/>
    </row>
    <row r="28" spans="1:4" s="24" customFormat="1" ht="15.75" x14ac:dyDescent="0.5">
      <c r="A28" s="1" t="s">
        <v>72</v>
      </c>
      <c r="B28" s="54">
        <f>Inputs!M38*Inputs!D50*24*7</f>
        <v>735.84</v>
      </c>
      <c r="C28" s="54">
        <f t="shared" ref="C28:C31" si="5">B28*4</f>
        <v>2943.36</v>
      </c>
      <c r="D28" s="25">
        <f t="shared" ref="D28:D31" si="6">B28*52</f>
        <v>38263.68</v>
      </c>
    </row>
    <row r="29" spans="1:4" s="24" customFormat="1" ht="15.75" x14ac:dyDescent="0.5">
      <c r="A29" s="6" t="s">
        <v>95</v>
      </c>
      <c r="B29" s="54">
        <f>Inputs!M38*Inputs!D51*24*7</f>
        <v>490.56</v>
      </c>
      <c r="C29" s="54">
        <f t="shared" si="5"/>
        <v>1962.24</v>
      </c>
      <c r="D29" s="25">
        <f t="shared" si="6"/>
        <v>25509.119999999999</v>
      </c>
    </row>
    <row r="30" spans="1:4" s="24" customFormat="1" ht="15.75" x14ac:dyDescent="0.5">
      <c r="A30" s="6" t="s">
        <v>96</v>
      </c>
      <c r="B30" s="54">
        <f>Inputs!M38*Inputs!D53*24*7</f>
        <v>3679.1999999999994</v>
      </c>
      <c r="C30" s="54">
        <f t="shared" si="5"/>
        <v>14716.799999999997</v>
      </c>
      <c r="D30" s="25">
        <f t="shared" si="6"/>
        <v>191318.39999999997</v>
      </c>
    </row>
    <row r="31" spans="1:4" s="24" customFormat="1" ht="15.75" x14ac:dyDescent="0.5">
      <c r="A31" s="6" t="s">
        <v>97</v>
      </c>
      <c r="B31" s="54">
        <f>Inputs!M39*Inputs!D54*24*7</f>
        <v>20.16</v>
      </c>
      <c r="C31" s="54">
        <f t="shared" si="5"/>
        <v>80.64</v>
      </c>
      <c r="D31" s="25">
        <f t="shared" si="6"/>
        <v>1048.32</v>
      </c>
    </row>
    <row r="32" spans="1:4" s="24" customFormat="1" ht="15.75" x14ac:dyDescent="0.5">
      <c r="A32" s="55" t="s">
        <v>137</v>
      </c>
      <c r="B32" s="54">
        <f>Inputs!M37*Inputs!D55*24*7</f>
        <v>977.76</v>
      </c>
      <c r="C32" s="54">
        <f>B32*4</f>
        <v>3911.04</v>
      </c>
      <c r="D32" s="25">
        <f>B32*52</f>
        <v>50843.519999999997</v>
      </c>
    </row>
    <row r="33" spans="1:8" s="24" customFormat="1" ht="15.75" x14ac:dyDescent="0.5">
      <c r="A33" s="55" t="s">
        <v>145</v>
      </c>
      <c r="B33" s="54">
        <f>Inputs!M36*24*7*Inputs!D56</f>
        <v>1441.44</v>
      </c>
      <c r="C33" s="54">
        <f>B33*4</f>
        <v>5765.76</v>
      </c>
      <c r="D33" s="25">
        <f>B33*52</f>
        <v>74954.880000000005</v>
      </c>
    </row>
    <row r="34" spans="1:8" s="24" customFormat="1" ht="15.75" x14ac:dyDescent="0.5">
      <c r="A34" s="24" t="s">
        <v>135</v>
      </c>
      <c r="B34" s="25">
        <f>SUM(B28:B33)</f>
        <v>7344.9599999999991</v>
      </c>
      <c r="C34" s="25">
        <f t="shared" ref="C34:D34" si="7">SUM(C28:C33)</f>
        <v>29379.839999999997</v>
      </c>
      <c r="D34" s="25">
        <f t="shared" si="7"/>
        <v>381937.91999999998</v>
      </c>
    </row>
    <row r="36" spans="1:8" s="19" customFormat="1" ht="18" x14ac:dyDescent="0.55000000000000004">
      <c r="A36" s="10" t="s">
        <v>140</v>
      </c>
      <c r="B36" s="41"/>
      <c r="C36" s="41"/>
      <c r="D36" s="44"/>
    </row>
    <row r="37" spans="1:8" x14ac:dyDescent="0.45">
      <c r="A37" s="1" t="s">
        <v>26</v>
      </c>
      <c r="B37" s="22">
        <f>C37/4</f>
        <v>1943.5</v>
      </c>
      <c r="C37" s="22">
        <f>Inputs!D60*(Inputs!D19+Inputs!D14)</f>
        <v>7774</v>
      </c>
      <c r="D37" s="23">
        <f>C37*12</f>
        <v>93288</v>
      </c>
    </row>
    <row r="38" spans="1:8" x14ac:dyDescent="0.45">
      <c r="A38" s="1" t="s">
        <v>141</v>
      </c>
      <c r="B38" s="22">
        <f>C38/4</f>
        <v>36500</v>
      </c>
      <c r="C38" s="22">
        <f>D38/12</f>
        <v>146000</v>
      </c>
      <c r="D38" s="23">
        <f>Inputs!D61*Inputs!D11</f>
        <v>1752000</v>
      </c>
    </row>
    <row r="39" spans="1:8" x14ac:dyDescent="0.45">
      <c r="A39" s="2" t="s">
        <v>175</v>
      </c>
      <c r="B39" s="23">
        <f>SUM(B37:B38)</f>
        <v>38443.5</v>
      </c>
      <c r="C39" s="23">
        <f t="shared" ref="C39:D39" si="8">SUM(C37:C38)</f>
        <v>153774</v>
      </c>
      <c r="D39" s="23">
        <f t="shared" si="8"/>
        <v>1845288</v>
      </c>
    </row>
    <row r="41" spans="1:8" ht="18" x14ac:dyDescent="0.55000000000000004">
      <c r="A41" s="10" t="s">
        <v>120</v>
      </c>
    </row>
    <row r="42" spans="1:8" x14ac:dyDescent="0.45">
      <c r="A42" s="1" t="s">
        <v>130</v>
      </c>
      <c r="B42" s="56"/>
      <c r="C42" s="28">
        <f>Inputs!D47*4</f>
        <v>119718.75</v>
      </c>
      <c r="D42" s="57"/>
      <c r="E42" s="28"/>
    </row>
    <row r="43" spans="1:8" x14ac:dyDescent="0.45">
      <c r="A43" s="1" t="s">
        <v>127</v>
      </c>
      <c r="B43" s="56"/>
      <c r="C43" s="28">
        <f>C22</f>
        <v>4385.130208333333</v>
      </c>
      <c r="D43" s="57"/>
      <c r="E43" s="28"/>
    </row>
    <row r="44" spans="1:8" x14ac:dyDescent="0.45">
      <c r="A44" s="2" t="s">
        <v>136</v>
      </c>
      <c r="B44" s="57"/>
      <c r="C44" s="47">
        <f>C43+C42</f>
        <v>124103.88020833333</v>
      </c>
      <c r="D44" s="57"/>
      <c r="E44" s="28"/>
    </row>
    <row r="45" spans="1:8" x14ac:dyDescent="0.45">
      <c r="A45" s="1" t="s">
        <v>128</v>
      </c>
      <c r="B45" s="56"/>
      <c r="C45" s="52">
        <f>C44/1000</f>
        <v>124.10388020833332</v>
      </c>
      <c r="D45" s="57"/>
      <c r="E45" s="28"/>
    </row>
    <row r="47" spans="1:8" x14ac:dyDescent="0.45">
      <c r="A47" s="28" t="s">
        <v>119</v>
      </c>
      <c r="B47" s="47"/>
      <c r="C47" s="50"/>
      <c r="D47" s="50"/>
      <c r="E47" s="28"/>
      <c r="F47" s="28" t="s">
        <v>118</v>
      </c>
      <c r="G47" s="28"/>
    </row>
    <row r="48" spans="1:8" x14ac:dyDescent="0.45">
      <c r="A48" s="14" t="s">
        <v>17</v>
      </c>
      <c r="B48" s="22">
        <f>D48/52</f>
        <v>0</v>
      </c>
      <c r="C48" s="22">
        <f>MAX(0, MIN($C$45, G48) - F48)*Inputs!M16</f>
        <v>0</v>
      </c>
      <c r="D48" s="23">
        <f>C48*12</f>
        <v>0</v>
      </c>
      <c r="E48" s="14" t="s">
        <v>116</v>
      </c>
      <c r="F48" s="28">
        <v>0</v>
      </c>
      <c r="G48" s="53">
        <v>1E-3</v>
      </c>
      <c r="H48" s="7"/>
    </row>
    <row r="49" spans="1:8" x14ac:dyDescent="0.45">
      <c r="A49" s="22" t="s">
        <v>18</v>
      </c>
      <c r="B49" s="22">
        <f t="shared" ref="B49:B53" si="9">D49/52</f>
        <v>0</v>
      </c>
      <c r="C49" s="22">
        <f>MAX(0, MIN($C$45, G49) - F49)*Inputs!M17</f>
        <v>0</v>
      </c>
      <c r="D49" s="23">
        <f t="shared" ref="D49:D53" si="10">C49*12</f>
        <v>0</v>
      </c>
      <c r="E49" s="22"/>
      <c r="F49" s="28">
        <f>G48</f>
        <v>1E-3</v>
      </c>
      <c r="G49" s="28">
        <f>F49+10</f>
        <v>10.000999999999999</v>
      </c>
      <c r="H49" s="7"/>
    </row>
    <row r="50" spans="1:8" x14ac:dyDescent="0.45">
      <c r="A50" s="22" t="s">
        <v>19</v>
      </c>
      <c r="B50" s="22">
        <f t="shared" si="9"/>
        <v>0</v>
      </c>
      <c r="C50" s="22">
        <f>MAX(0, MIN($C$45, G50) - F50)*Inputs!M18</f>
        <v>0</v>
      </c>
      <c r="D50" s="23">
        <f t="shared" si="10"/>
        <v>0</v>
      </c>
      <c r="E50" s="22"/>
      <c r="F50" s="28">
        <f>G49</f>
        <v>10.000999999999999</v>
      </c>
      <c r="G50" s="28">
        <f>G49+40</f>
        <v>50.000999999999998</v>
      </c>
      <c r="H50" s="7"/>
    </row>
    <row r="51" spans="1:8" x14ac:dyDescent="0.45">
      <c r="A51" s="51" t="s">
        <v>123</v>
      </c>
      <c r="B51" s="22">
        <f t="shared" si="9"/>
        <v>0</v>
      </c>
      <c r="C51" s="22">
        <f>MAX(0, MIN($C$45, G51) - F51)*Inputs!M19</f>
        <v>0</v>
      </c>
      <c r="D51" s="23">
        <f t="shared" si="10"/>
        <v>0</v>
      </c>
      <c r="E51" s="22"/>
      <c r="F51" s="28">
        <f>G50</f>
        <v>50.000999999999998</v>
      </c>
      <c r="G51" s="28">
        <f>G50+100</f>
        <v>150.001</v>
      </c>
      <c r="H51" s="7"/>
    </row>
    <row r="52" spans="1:8" x14ac:dyDescent="0.45">
      <c r="A52" s="51" t="s">
        <v>122</v>
      </c>
      <c r="B52" s="22">
        <f t="shared" si="9"/>
        <v>0</v>
      </c>
      <c r="C52" s="22">
        <f>MAX(0, MIN($C$45, G52) - F52)*Inputs!M20</f>
        <v>0</v>
      </c>
      <c r="D52" s="23">
        <f t="shared" si="10"/>
        <v>0</v>
      </c>
      <c r="E52" s="22"/>
      <c r="F52" s="28">
        <f>G51</f>
        <v>150.001</v>
      </c>
      <c r="G52" s="28" t="s">
        <v>121</v>
      </c>
      <c r="H52" s="7"/>
    </row>
    <row r="53" spans="1:8" s="2" customFormat="1" ht="15.75" x14ac:dyDescent="0.5">
      <c r="A53" s="24" t="s">
        <v>129</v>
      </c>
      <c r="B53" s="23">
        <f t="shared" si="9"/>
        <v>0</v>
      </c>
      <c r="C53" s="23">
        <f>SUM(C48:C52)</f>
        <v>0</v>
      </c>
      <c r="D53" s="23">
        <f t="shared" si="10"/>
        <v>0</v>
      </c>
      <c r="E53" s="24"/>
      <c r="F53" s="24"/>
      <c r="G53" s="24"/>
    </row>
    <row r="56" spans="1:8" s="91" customFormat="1" ht="19.899999999999999" x14ac:dyDescent="1.1000000000000001">
      <c r="A56" s="91" t="s">
        <v>181</v>
      </c>
      <c r="B56" s="92">
        <f>B53+B9+B18+B34+B39</f>
        <v>95602.18</v>
      </c>
      <c r="C56" s="92">
        <f>C53+C9+C18+C34+C39</f>
        <v>383926.36</v>
      </c>
      <c r="D56" s="92">
        <f>D53+D9+D18+D34+D39</f>
        <v>4636496.16</v>
      </c>
    </row>
    <row r="57" spans="1:8" s="76" customFormat="1" ht="19.899999999999999" x14ac:dyDescent="1.1000000000000001">
      <c r="B57" s="77"/>
      <c r="C57" s="77"/>
      <c r="D57" s="78"/>
    </row>
    <row r="58" spans="1:8" s="91" customFormat="1" ht="19.899999999999999" x14ac:dyDescent="1.1000000000000001">
      <c r="A58" s="91" t="s">
        <v>182</v>
      </c>
      <c r="B58" s="92">
        <f>B56*Inputs!$H$41</f>
        <v>95602.18</v>
      </c>
      <c r="C58" s="92">
        <f>C56*Inputs!$H$41</f>
        <v>383926.36</v>
      </c>
      <c r="D58" s="92">
        <f>D56*Inputs!$H$41</f>
        <v>4636496.16</v>
      </c>
    </row>
    <row r="59" spans="1:8" x14ac:dyDescent="0.45">
      <c r="A59" s="1" t="s">
        <v>162</v>
      </c>
      <c r="B59" s="93">
        <f>1-Inputs!H41</f>
        <v>0</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6F00E-73AD-4EBB-9C84-8BEADC9BE26D}">
  <sheetPr>
    <tabColor theme="9"/>
  </sheetPr>
  <dimension ref="B2:I17"/>
  <sheetViews>
    <sheetView workbookViewId="0">
      <selection activeCell="G23" sqref="G23"/>
    </sheetView>
  </sheetViews>
  <sheetFormatPr defaultColWidth="9" defaultRowHeight="14.25" x14ac:dyDescent="0.45"/>
  <cols>
    <col min="1" max="1" width="9" style="8"/>
    <col min="2" max="2" width="28.6640625" style="8" customWidth="1"/>
    <col min="3" max="3" width="21.265625" style="8" customWidth="1"/>
    <col min="4" max="4" width="7.53125" style="156" hidden="1" customWidth="1"/>
    <col min="5" max="5" width="21.33203125" style="8" customWidth="1"/>
    <col min="6" max="6" width="7.796875" style="154" hidden="1" customWidth="1"/>
    <col min="7" max="7" width="15.53125" style="8" customWidth="1"/>
    <col min="8" max="8" width="15.19921875" style="8" customWidth="1"/>
    <col min="9" max="16384" width="9" style="8"/>
  </cols>
  <sheetData>
    <row r="2" spans="2:9" ht="34.15" x14ac:dyDescent="1.85">
      <c r="B2" s="71" t="s">
        <v>232</v>
      </c>
    </row>
    <row r="3" spans="2:9" ht="25.5" x14ac:dyDescent="0.75">
      <c r="C3" s="3"/>
      <c r="D3" s="159"/>
    </row>
    <row r="4" spans="2:9" s="70" customFormat="1" ht="34.5" x14ac:dyDescent="1.1499999999999999">
      <c r="C4" s="72" t="s">
        <v>20</v>
      </c>
      <c r="D4" s="160" t="s">
        <v>230</v>
      </c>
      <c r="E4" s="94" t="s">
        <v>33</v>
      </c>
      <c r="F4" s="153" t="s">
        <v>230</v>
      </c>
      <c r="G4" s="73" t="s">
        <v>204</v>
      </c>
      <c r="H4" s="73" t="s">
        <v>160</v>
      </c>
    </row>
    <row r="5" spans="2:9" x14ac:dyDescent="0.45">
      <c r="B5" s="9" t="s">
        <v>29</v>
      </c>
      <c r="C5" s="20">
        <f>'AWS Calculations'!D9</f>
        <v>1678540.7999999998</v>
      </c>
      <c r="D5" s="155">
        <f>C5/C$12</f>
        <v>0.22269027834914343</v>
      </c>
      <c r="E5" s="20">
        <f>'CoreWeave Calculations '!D9</f>
        <v>2172518.4000000004</v>
      </c>
      <c r="F5" s="155">
        <f>E5/E$12</f>
        <v>0.46856900664401724</v>
      </c>
      <c r="G5" s="74">
        <f>E5-C5</f>
        <v>493977.60000000056</v>
      </c>
      <c r="H5" s="69">
        <f>G5/C5</f>
        <v>0.29428989751098134</v>
      </c>
    </row>
    <row r="6" spans="2:9" x14ac:dyDescent="0.45">
      <c r="B6" s="9" t="s">
        <v>30</v>
      </c>
      <c r="E6" s="20"/>
      <c r="F6" s="156"/>
      <c r="G6" s="74"/>
      <c r="H6" s="69"/>
    </row>
    <row r="7" spans="2:9" x14ac:dyDescent="0.45">
      <c r="B7" s="68" t="s">
        <v>158</v>
      </c>
      <c r="C7" s="20">
        <f>'AWS Calculations'!D18</f>
        <v>2710176.7680000002</v>
      </c>
      <c r="D7" s="155">
        <f>C7/C$12</f>
        <v>0.35955635921468337</v>
      </c>
      <c r="E7" s="20">
        <f>'CoreWeave Calculations '!D18</f>
        <v>236751.84</v>
      </c>
      <c r="F7" s="155">
        <f>E7/E$12</f>
        <v>5.1062662801817135E-2</v>
      </c>
      <c r="G7" s="74">
        <f t="shared" ref="G7:G12" si="0">E7-C7</f>
        <v>-2473424.9280000003</v>
      </c>
      <c r="H7" s="69">
        <f t="shared" ref="H7:H12" si="1">G7/C7</f>
        <v>-0.91264339551743956</v>
      </c>
    </row>
    <row r="8" spans="2:9" x14ac:dyDescent="0.45">
      <c r="B8" s="68" t="s">
        <v>159</v>
      </c>
      <c r="C8" s="20">
        <f>'AWS Calculations'!D31</f>
        <v>1187054.6687999999</v>
      </c>
      <c r="D8" s="155">
        <f>C8/C$12</f>
        <v>0.15748531975554139</v>
      </c>
      <c r="E8" s="20">
        <f>'CoreWeave Calculations '!D34</f>
        <v>381937.91999999998</v>
      </c>
      <c r="F8" s="155">
        <f>E8/E$12</f>
        <v>8.2376412450215417E-2</v>
      </c>
      <c r="G8" s="74">
        <f t="shared" si="0"/>
        <v>-805116.74879999994</v>
      </c>
      <c r="H8" s="69">
        <f t="shared" si="1"/>
        <v>-0.67824740507856884</v>
      </c>
    </row>
    <row r="9" spans="2:9" x14ac:dyDescent="0.45">
      <c r="B9" s="9"/>
      <c r="C9" s="20"/>
      <c r="D9" s="157"/>
      <c r="E9" s="20"/>
      <c r="F9" s="157"/>
      <c r="G9" s="74"/>
      <c r="H9" s="69"/>
    </row>
    <row r="10" spans="2:9" x14ac:dyDescent="0.45">
      <c r="B10" s="8" t="s">
        <v>5</v>
      </c>
      <c r="C10" s="20">
        <f>'AWS Calculations'!D50</f>
        <v>116497.363125</v>
      </c>
      <c r="D10" s="155">
        <f>C10/C$12</f>
        <v>1.5455585125632628E-2</v>
      </c>
      <c r="E10" s="20">
        <f>'CoreWeave Calculations '!D53</f>
        <v>0</v>
      </c>
      <c r="F10" s="155">
        <f>E10/E$12</f>
        <v>0</v>
      </c>
      <c r="G10" s="74">
        <f t="shared" si="0"/>
        <v>-116497.363125</v>
      </c>
      <c r="H10" s="69">
        <f t="shared" si="1"/>
        <v>-1</v>
      </c>
    </row>
    <row r="11" spans="2:9" x14ac:dyDescent="0.45">
      <c r="B11" s="9" t="s">
        <v>25</v>
      </c>
      <c r="C11" s="20">
        <f>'AWS Calculations'!D36</f>
        <v>1845288</v>
      </c>
      <c r="D11" s="155">
        <f>C11/C$12</f>
        <v>0.24481245755499911</v>
      </c>
      <c r="E11" s="20">
        <f>'CoreWeave Calculations '!D39</f>
        <v>1845288</v>
      </c>
      <c r="F11" s="155">
        <f>E11/E$12</f>
        <v>0.39799191810395029</v>
      </c>
      <c r="G11" s="74">
        <f t="shared" si="0"/>
        <v>0</v>
      </c>
      <c r="H11" s="69">
        <f t="shared" si="1"/>
        <v>0</v>
      </c>
    </row>
    <row r="12" spans="2:9" s="35" customFormat="1" ht="18" x14ac:dyDescent="0.55000000000000004">
      <c r="B12" s="33" t="s">
        <v>164</v>
      </c>
      <c r="C12" s="34">
        <f>'AWS Calculations'!D53</f>
        <v>7537557.5999250002</v>
      </c>
      <c r="D12" s="157"/>
      <c r="E12" s="34">
        <f>'CoreWeave Calculations '!D56</f>
        <v>4636496.16</v>
      </c>
      <c r="F12" s="157"/>
      <c r="G12" s="74">
        <f t="shared" si="0"/>
        <v>-2901061.4399250001</v>
      </c>
      <c r="H12" s="69">
        <f t="shared" si="1"/>
        <v>-0.38488083194931288</v>
      </c>
      <c r="I12" s="34"/>
    </row>
    <row r="13" spans="2:9" x14ac:dyDescent="0.45">
      <c r="F13" s="156"/>
    </row>
    <row r="14" spans="2:9" x14ac:dyDescent="0.45">
      <c r="B14" s="82" t="s">
        <v>28</v>
      </c>
      <c r="C14" s="69">
        <f>'AWS Calculations'!B56</f>
        <v>0</v>
      </c>
      <c r="D14" s="155"/>
      <c r="E14" s="69">
        <f>'CoreWeave Calculations '!B59</f>
        <v>0</v>
      </c>
      <c r="F14" s="155"/>
      <c r="I14" s="29"/>
    </row>
    <row r="15" spans="2:9" ht="18" x14ac:dyDescent="0.55000000000000004">
      <c r="B15" s="33" t="s">
        <v>163</v>
      </c>
      <c r="C15" s="21">
        <f>'AWS Calculations'!D55</f>
        <v>7537557.5999250002</v>
      </c>
      <c r="D15" s="158"/>
      <c r="E15" s="21">
        <f>'CoreWeave Calculations '!D58</f>
        <v>4636496.16</v>
      </c>
      <c r="F15" s="158"/>
      <c r="G15" s="74">
        <f t="shared" ref="G15:G16" si="2">E15-C15</f>
        <v>-2901061.4399250001</v>
      </c>
      <c r="H15" s="69">
        <f t="shared" ref="H15:H16" si="3">G15/C15</f>
        <v>-0.38488083194931288</v>
      </c>
      <c r="I15" s="21"/>
    </row>
    <row r="16" spans="2:9" ht="18" x14ac:dyDescent="0.55000000000000004">
      <c r="B16" s="33" t="s">
        <v>165</v>
      </c>
      <c r="C16" s="34">
        <f>C15/12</f>
        <v>628129.79999375006</v>
      </c>
      <c r="D16" s="157"/>
      <c r="E16" s="34">
        <f>E15/12</f>
        <v>386374.68</v>
      </c>
      <c r="F16" s="157"/>
      <c r="G16" s="74">
        <f t="shared" si="2"/>
        <v>-241755.11999375006</v>
      </c>
      <c r="H16" s="69">
        <f t="shared" si="3"/>
        <v>-0.38488083194931294</v>
      </c>
      <c r="I16" s="34"/>
    </row>
    <row r="17" spans="6:6" x14ac:dyDescent="0.45">
      <c r="F17" s="156"/>
    </row>
  </sheetData>
  <pageMargins left="0.7" right="0.7" top="0.75" bottom="0.75" header="0.3" footer="0.3"/>
  <ignoredErrors>
    <ignoredError sqref="E5 E7:E8 E10:E11"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91C2F5A41B3D249B03BBF34FD32864D" ma:contentTypeVersion="11" ma:contentTypeDescription="Create a new document." ma:contentTypeScope="" ma:versionID="2307e2081ebdfadec8cbed4e7e754abf">
  <xsd:schema xmlns:xsd="http://www.w3.org/2001/XMLSchema" xmlns:xs="http://www.w3.org/2001/XMLSchema" xmlns:p="http://schemas.microsoft.com/office/2006/metadata/properties" xmlns:ns2="0ec7be1d-c805-4cdd-aa44-9566496feea5" xmlns:ns3="697b15d9-4b55-4b49-b9dc-ba9a5bd411e3" targetNamespace="http://schemas.microsoft.com/office/2006/metadata/properties" ma:root="true" ma:fieldsID="9f959ecb3999a6a6bee70c73b2f732ff" ns2:_="" ns3:_="">
    <xsd:import namespace="0ec7be1d-c805-4cdd-aa44-9566496feea5"/>
    <xsd:import namespace="697b15d9-4b55-4b49-b9dc-ba9a5bd411e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c7be1d-c805-4cdd-aa44-9566496fee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7b15d9-4b55-4b49-b9dc-ba9a5bd411e3"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A6F39A-56A0-4D77-9461-1192B2E172CA}">
  <ds:schemaRefs>
    <ds:schemaRef ds:uri="http://purl.org/dc/terms/"/>
    <ds:schemaRef ds:uri="http://schemas.openxmlformats.org/package/2006/metadata/core-properties"/>
    <ds:schemaRef ds:uri="http://schemas.microsoft.com/office/2006/metadata/properties"/>
    <ds:schemaRef ds:uri="http://www.w3.org/XML/1998/namespace"/>
    <ds:schemaRef ds:uri="http://schemas.microsoft.com/office/2006/documentManagement/types"/>
    <ds:schemaRef ds:uri="http://purl.org/dc/dcmitype/"/>
    <ds:schemaRef ds:uri="http://purl.org/dc/elements/1.1/"/>
    <ds:schemaRef ds:uri="http://schemas.microsoft.com/office/infopath/2007/PartnerControls"/>
    <ds:schemaRef ds:uri="697b15d9-4b55-4b49-b9dc-ba9a5bd411e3"/>
    <ds:schemaRef ds:uri="0ec7be1d-c805-4cdd-aa44-9566496feea5"/>
  </ds:schemaRefs>
</ds:datastoreItem>
</file>

<file path=customXml/itemProps2.xml><?xml version="1.0" encoding="utf-8"?>
<ds:datastoreItem xmlns:ds="http://schemas.openxmlformats.org/officeDocument/2006/customXml" ds:itemID="{145F4E20-078E-4048-87F0-D759DA20261A}">
  <ds:schemaRefs>
    <ds:schemaRef ds:uri="http://schemas.microsoft.com/sharepoint/v3/contenttype/forms"/>
  </ds:schemaRefs>
</ds:datastoreItem>
</file>

<file path=customXml/itemProps3.xml><?xml version="1.0" encoding="utf-8"?>
<ds:datastoreItem xmlns:ds="http://schemas.openxmlformats.org/officeDocument/2006/customXml" ds:itemID="{CF33BF84-E540-460B-8ADC-A28BEA08C1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c7be1d-c805-4cdd-aa44-9566496feea5"/>
    <ds:schemaRef ds:uri="697b15d9-4b55-4b49-b9dc-ba9a5bd411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&amp; Instructions</vt:lpstr>
      <vt:lpstr>Inputs</vt:lpstr>
      <vt:lpstr>AWS Calculations</vt:lpstr>
      <vt:lpstr>CoreWeave Calculations </vt:lpstr>
      <vt:lpstr>Output Comparisons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Turner</dc:creator>
  <cp:keywords/>
  <dc:description/>
  <cp:lastModifiedBy>Mark Turner</cp:lastModifiedBy>
  <cp:revision/>
  <dcterms:created xsi:type="dcterms:W3CDTF">2020-06-02T23:36:06Z</dcterms:created>
  <dcterms:modified xsi:type="dcterms:W3CDTF">2025-09-10T12:04:09Z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0x010100991C2F5A41B3D249B03BBF34FD32864D</vt:lpwstr>
  </property>
</Properties>
</file>